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 windowWidth="10236" windowHeight="4812" tabRatio="699" activeTab="0"/>
  </bookViews>
  <sheets>
    <sheet name="Welcome" sheetId="1" r:id="rId1"/>
    <sheet name="Menu" sheetId="2" r:id="rId2"/>
    <sheet name="FarmData" sheetId="3" r:id="rId3"/>
    <sheet name="Equipment" sheetId="4" r:id="rId4"/>
    <sheet name="Income" sheetId="5" r:id="rId5"/>
    <sheet name="Expenses" sheetId="6" r:id="rId6"/>
    <sheet name="Targets" sheetId="7" r:id="rId7"/>
    <sheet name="Snapshot" sheetId="8" r:id="rId8"/>
    <sheet name="Reports" sheetId="9" r:id="rId9"/>
    <sheet name="Calculators" sheetId="10" r:id="rId10"/>
    <sheet name="Background" sheetId="11" r:id="rId11"/>
    <sheet name="Old Snap" sheetId="12" r:id="rId12"/>
  </sheets>
  <definedNames>
    <definedName name="_xlfn.IFERROR" hidden="1">#NAME?</definedName>
    <definedName name="Excel_BuiltIn_Print_Area_8_1">'Snapshot'!$B$78:$O$154</definedName>
    <definedName name="_xlnm.Print_Area" localSheetId="5">'Expenses'!$A$1:$M$64</definedName>
    <definedName name="_xlnm.Print_Area" localSheetId="8">'Reports'!$B$2:$K$54</definedName>
    <definedName name="_xlnm.Print_Area" localSheetId="7">'Snapshot'!$B$77:$O$154</definedName>
  </definedNames>
  <calcPr fullCalcOnLoad="1"/>
</workbook>
</file>

<file path=xl/comments1.xml><?xml version="1.0" encoding="utf-8"?>
<comments xmlns="http://schemas.openxmlformats.org/spreadsheetml/2006/main">
  <authors>
    <author/>
    <author> </author>
  </authors>
  <commentList>
    <comment ref="C4" authorId="0">
      <text>
        <r>
          <rPr>
            <sz val="10"/>
            <rFont val="Arial"/>
            <family val="2"/>
          </rPr>
          <t>To Farm Data</t>
        </r>
      </text>
    </comment>
    <comment ref="F21" authorId="0">
      <text>
        <r>
          <rPr>
            <sz val="10"/>
            <color indexed="8"/>
            <rFont val="Tahoma"/>
            <family val="2"/>
          </rPr>
          <t>Choose the operation type that best describes your sheep farm by clicking on the arrow at the right of the text box.
Low input = low cost model
Med input = medium cost model
High input = high cost model</t>
        </r>
      </text>
    </comment>
    <comment ref="F23" authorId="0">
      <text>
        <r>
          <rPr>
            <sz val="10"/>
            <rFont val="Arial"/>
            <family val="2"/>
          </rPr>
          <t>You can choose to have the Flock Snapshot calculate costs and incomes in two different ways – either costs and incomes “per</t>
        </r>
        <r>
          <rPr>
            <b/>
            <u val="single"/>
            <sz val="10"/>
            <rFont val="Arial"/>
            <family val="2"/>
          </rPr>
          <t xml:space="preserve"> lamb sold</t>
        </r>
        <r>
          <rPr>
            <sz val="10"/>
            <rFont val="Arial"/>
            <family val="2"/>
          </rPr>
          <t xml:space="preserve">” or “per </t>
        </r>
        <r>
          <rPr>
            <b/>
            <u val="single"/>
            <sz val="10"/>
            <rFont val="Arial"/>
            <family val="2"/>
          </rPr>
          <t>marketable lamb</t>
        </r>
        <r>
          <rPr>
            <sz val="10"/>
            <rFont val="Arial"/>
            <family val="2"/>
          </rPr>
          <t>”.  
Per lamb sold: Costs and incomes will be divided by the number of lambs sold. (Recommended)
Per marketable lamb: Costs and incomes will be divided by the number of lambs born less death loss.
Click on the arrow at the right of the text box for the drop down menu to select</t>
        </r>
      </text>
    </comment>
    <comment ref="F25" authorId="1">
      <text>
        <r>
          <rPr>
            <sz val="9"/>
            <rFont val="Tahoma"/>
            <family val="2"/>
          </rPr>
          <t xml:space="preserve">This is the calandar year of the data you are entering to this Flock Snapshot - from January 1 to December 31st. 
</t>
        </r>
      </text>
    </comment>
    <comment ref="C7" authorId="0">
      <text>
        <r>
          <rPr>
            <sz val="10"/>
            <rFont val="Arial"/>
            <family val="2"/>
          </rPr>
          <t>To Menu – The Menu describes what each page does</t>
        </r>
      </text>
    </comment>
  </commentList>
</comments>
</file>

<file path=xl/comments10.xml><?xml version="1.0" encoding="utf-8"?>
<comments xmlns="http://schemas.openxmlformats.org/spreadsheetml/2006/main">
  <authors>
    <author/>
    <author> </author>
  </authors>
  <commentList>
    <comment ref="E3" authorId="0">
      <text>
        <r>
          <rPr>
            <sz val="10"/>
            <rFont val="Arial"/>
            <family val="2"/>
          </rPr>
          <t xml:space="preserve">The Calculators on this page do not directly affect the workbook.  They are provided to help sheep producers calculate costs in specific areas.
</t>
        </r>
      </text>
    </comment>
    <comment ref="O3" authorId="0">
      <text>
        <r>
          <rPr>
            <sz val="10"/>
            <color indexed="8"/>
            <rFont val="Tahoma"/>
            <family val="2"/>
          </rPr>
          <t xml:space="preserve">This is the "suggested" cost per day to feed each ewe for each stage of production based on a simple ration balancing formula. 
</t>
        </r>
      </text>
    </comment>
    <comment ref="P3" authorId="0">
      <text>
        <r>
          <rPr>
            <sz val="10"/>
            <color indexed="8"/>
            <rFont val="Tahoma"/>
            <family val="2"/>
          </rPr>
          <t xml:space="preserve">This is the suggested feed cost for each ewe at each stage of production based on a simple ration balancing formula. </t>
        </r>
      </text>
    </comment>
    <comment ref="Q3" authorId="0">
      <text>
        <r>
          <rPr>
            <sz val="10"/>
            <color indexed="8"/>
            <rFont val="Tahoma"/>
            <family val="2"/>
          </rPr>
          <t xml:space="preserve">This is the calculated cost per day to pasture each ewe for each stage of production based on the number of acres entered into this spreadsheet (Assets tab) and the grazing cost per acre (above). </t>
        </r>
      </text>
    </comment>
    <comment ref="R3" authorId="0">
      <text>
        <r>
          <rPr>
            <sz val="10"/>
            <color indexed="8"/>
            <rFont val="Tahoma"/>
            <family val="2"/>
          </rPr>
          <t xml:space="preserve">This is the calculated pasture cost for each ewe at each stage of production based on the number of grazing acres entered (Assets tab) and grazing cost/acre (Above). </t>
        </r>
      </text>
    </comment>
    <comment ref="S3" authorId="0">
      <text>
        <r>
          <rPr>
            <sz val="10"/>
            <color indexed="8"/>
            <rFont val="Tahoma"/>
            <family val="2"/>
          </rPr>
          <t>This is the suggested total cost per ewe at each stage of production based on a simple ration balancing program plus the grazing acres and costs as entered.</t>
        </r>
      </text>
    </comment>
    <comment ref="E8" authorId="0">
      <text>
        <r>
          <rPr>
            <sz val="10"/>
            <color indexed="8"/>
            <rFont val="Tahoma"/>
            <family val="2"/>
          </rPr>
          <t xml:space="preserve">This calculator does not influence the financial statements, it only offers an estimate of what your "optimum" feeding costs would be based on a simple ration balancing program.  
"Optimum" means you meet the nutritional requirements of your animals for all stages of production using a low cost ration (the mix of feeds listed). 
</t>
        </r>
      </text>
    </comment>
    <comment ref="G10" authorId="0">
      <text>
        <r>
          <rPr>
            <sz val="10"/>
            <color indexed="8"/>
            <rFont val="Tahoma"/>
            <family val="2"/>
          </rPr>
          <t xml:space="preserve">Feed types are limited to those listed as this is not a full ration balancing program.   For this reason it is important to enter the costs of all of these feeds in your area - even if you do not personally use the feed type.
</t>
        </r>
      </text>
    </comment>
    <comment ref="J10" authorId="0">
      <text>
        <r>
          <rPr>
            <sz val="10"/>
            <color indexed="8"/>
            <rFont val="Tahoma"/>
            <family val="2"/>
          </rPr>
          <t xml:space="preserve">Please enter the local price per ton (or as specified) for each feed type whether or not you use the feed type.
</t>
        </r>
      </text>
    </comment>
    <comment ref="C11" authorId="0">
      <text>
        <r>
          <rPr>
            <sz val="10"/>
            <rFont val="Arial"/>
            <family val="2"/>
          </rPr>
          <t>To Diagnosis</t>
        </r>
      </text>
    </comment>
    <comment ref="G11" authorId="0">
      <text>
        <r>
          <rPr>
            <sz val="10"/>
            <rFont val="Arial"/>
            <family val="2"/>
          </rPr>
          <t>Good quality grass hay</t>
        </r>
      </text>
    </comment>
    <comment ref="G12" authorId="0">
      <text>
        <r>
          <rPr>
            <sz val="10"/>
            <rFont val="Arial"/>
            <family val="2"/>
          </rPr>
          <t xml:space="preserve">Barley or corn supplement
</t>
        </r>
      </text>
    </comment>
    <comment ref="G13" authorId="0">
      <text>
        <r>
          <rPr>
            <sz val="10"/>
            <rFont val="Arial"/>
            <family val="2"/>
          </rPr>
          <t>Protein supplement</t>
        </r>
      </text>
    </comment>
    <comment ref="C14" authorId="0">
      <text>
        <r>
          <rPr>
            <sz val="10"/>
            <rFont val="Arial"/>
            <family val="2"/>
          </rPr>
          <t>Back to Reports</t>
        </r>
      </text>
    </comment>
    <comment ref="G17" authorId="0">
      <text>
        <r>
          <rPr>
            <sz val="10"/>
            <rFont val="Arial"/>
            <family val="2"/>
          </rPr>
          <t>The calculator takes into account how productive your ewes are as well as how big they are when calculating feed costs.</t>
        </r>
      </text>
    </comment>
    <comment ref="I17" authorId="0">
      <text>
        <r>
          <rPr>
            <sz val="10"/>
            <color indexed="8"/>
            <rFont val="Tahoma"/>
            <family val="2"/>
          </rPr>
          <t xml:space="preserve">Days on feed vs days on pasture.  You need to balance the number of days you have your ewes and lambs on pasture vs being fed for each stage of production.  
</t>
        </r>
      </text>
    </comment>
    <comment ref="J17" authorId="0">
      <text>
        <r>
          <rPr>
            <sz val="10"/>
            <color indexed="8"/>
            <rFont val="Tahoma"/>
            <family val="2"/>
          </rPr>
          <t xml:space="preserve">Days on feed vs days on pasture.  You need to balance the number of days you have your ewes and lambs on pasture vs being fed for each stage of production.  
</t>
        </r>
      </text>
    </comment>
    <comment ref="C18" authorId="0">
      <text>
        <r>
          <rPr>
            <sz val="10"/>
            <rFont val="Arial"/>
            <family val="2"/>
          </rPr>
          <t>To Menu – The Menu describes what each page does</t>
        </r>
      </text>
    </comment>
    <comment ref="C25" authorId="0">
      <text>
        <r>
          <rPr>
            <sz val="10"/>
            <rFont val="Arial"/>
            <family val="2"/>
          </rPr>
          <t>To Marketing calculator</t>
        </r>
      </text>
    </comment>
    <comment ref="C29" authorId="0">
      <text>
        <r>
          <rPr>
            <sz val="10"/>
            <rFont val="Arial"/>
            <family val="2"/>
          </rPr>
          <t>To Labour calculator</t>
        </r>
      </text>
    </comment>
    <comment ref="J32" authorId="0">
      <text>
        <r>
          <rPr>
            <sz val="10"/>
            <color indexed="8"/>
            <rFont val="Tahoma"/>
            <family val="2"/>
          </rPr>
          <t xml:space="preserve">This is an estimate of what your sheep enterprises "optimum" total feed costs would be based on a simple ration balancing program using the feeds in the above table.
</t>
        </r>
      </text>
    </comment>
    <comment ref="E34" authorId="0">
      <text>
        <r>
          <rPr>
            <sz val="10"/>
            <color indexed="8"/>
            <rFont val="Tahoma"/>
            <family val="2"/>
          </rPr>
          <t>The calculator does not influence the financial statements, it only offers an estimate of what your marketing costs are.
Use this calculator to see how changes in how you market your lambs affect your marketing costs.</t>
        </r>
      </text>
    </comment>
    <comment ref="I36" authorId="0">
      <text>
        <r>
          <rPr>
            <sz val="10"/>
            <color indexed="8"/>
            <rFont val="Tahoma"/>
            <family val="2"/>
          </rPr>
          <t>Enter your farm information here</t>
        </r>
      </text>
    </comment>
    <comment ref="J36" authorId="0">
      <text>
        <r>
          <rPr>
            <sz val="10"/>
            <color indexed="8"/>
            <rFont val="Tahoma"/>
            <family val="2"/>
          </rPr>
          <t>This "Comparison" area is included so that you can play with the Calculator to see how costs change as you adjust the variables. 
This area can be changed by clicking on the text boxes.</t>
        </r>
      </text>
    </comment>
    <comment ref="P38" authorId="0">
      <text>
        <r>
          <rPr>
            <sz val="10"/>
            <color indexed="8"/>
            <rFont val="Tahoma"/>
            <family val="2"/>
          </rPr>
          <t>This is the default rate used in the program.  You still must enter a farm rate for the program to work however.</t>
        </r>
      </text>
    </comment>
    <comment ref="G39" authorId="0">
      <text>
        <r>
          <rPr>
            <sz val="10"/>
            <rFont val="Arial"/>
            <family val="2"/>
          </rPr>
          <t xml:space="preserve">This is the number of weeks (roughly) that you ship lambs during your sales season.  
Tip – Consider shipping your “poor doers” to a feedlot as a final group to increase your marketing efficiency.  (It is hard to make money shipping small loads)
</t>
        </r>
      </text>
    </comment>
    <comment ref="G40" authorId="0">
      <text>
        <r>
          <rPr>
            <sz val="10"/>
            <rFont val="Arial"/>
            <family val="2"/>
          </rPr>
          <t>This is the average number of lambs you ship per load on your trailer</t>
        </r>
      </text>
    </comment>
    <comment ref="G41" authorId="0">
      <text>
        <r>
          <rPr>
            <sz val="10"/>
            <rFont val="Arial"/>
            <family val="2"/>
          </rPr>
          <t>Average distance you drive your lambs to market</t>
        </r>
      </text>
    </comment>
    <comment ref="G42" authorId="0">
      <text>
        <r>
          <rPr>
            <sz val="10"/>
            <color indexed="8"/>
            <rFont val="Tahoma"/>
            <family val="2"/>
          </rPr>
          <t>A very rough guideline for cost/km is as follows:
Older vehicle and trailer with a total value of $10,000 = .30/km
Medium age vehicle and trailer valued at $25,000 = $.40/km
Newer vehicle and trailer valued at $50,000 = $.50/km
New vehicle and trailer valued at $75,000 = $.64/km
* Vehicle costs can vary dramatically based on how much you drive and how new the vehicle is.  
The guidelines given above are based on vehicles being driven 20K/yr with fuel at $1.25/liter, and includes costs of repair, insurance, etc.  It is up to you to determine your own vehicle costs for the cost calculator.</t>
        </r>
      </text>
    </comment>
    <comment ref="G43" authorId="0">
      <text>
        <r>
          <rPr>
            <sz val="10"/>
            <rFont val="Arial"/>
            <family val="2"/>
          </rPr>
          <t>This is the amount you receive for your lambs per lb (live weight) when you sell them.</t>
        </r>
      </text>
    </comment>
    <comment ref="G44" authorId="0">
      <text>
        <r>
          <rPr>
            <sz val="10"/>
            <rFont val="Arial"/>
            <family val="2"/>
          </rPr>
          <t>This is how much time it takes in “person hours” to ship one average load of lambs</t>
        </r>
      </text>
    </comment>
    <comment ref="G47" authorId="0">
      <text>
        <r>
          <rPr>
            <sz val="10"/>
            <rFont val="Arial"/>
            <family val="2"/>
          </rPr>
          <t xml:space="preserve">Shipping interval is the average number of weeks between loads when you are marketing your lambs. 
It is calculated from the above information you entered.  
</t>
        </r>
      </text>
    </comment>
    <comment ref="G48" authorId="0">
      <text>
        <r>
          <rPr>
            <sz val="10"/>
            <rFont val="Arial"/>
            <family val="2"/>
          </rPr>
          <t>This is calculated based on the information entered above.
Average lamb weight will vary based on your shipping interval – since lambs gain between 0.5 and 1.0 lbs/day.  If you ship weekly, you can hit your target lamb weights quite closely compared if you ship less often.   Shipping costs may go up however if you are shipping smaller loads. 
Tip – Use this Calculator to find the right balance between shipping interval and load size for your operation.</t>
        </r>
      </text>
    </comment>
    <comment ref="G49" authorId="0">
      <text>
        <r>
          <rPr>
            <sz val="10"/>
            <color indexed="8"/>
            <rFont val="Tahoma"/>
            <family val="2"/>
          </rPr>
          <t xml:space="preserve">The value of lamb varies based on your marketing period, target weight, and price / lb live.  
For example - If you market weekly you have the ability to hit your target market weights closely and therefore earn more per lamb.  
On the other hand, if you market weekly, your load size will be smaller and your costs to get the lambs to market will be higher.
</t>
        </r>
      </text>
    </comment>
    <comment ref="G53" authorId="0">
      <text>
        <r>
          <rPr>
            <sz val="10"/>
            <color indexed="8"/>
            <rFont val="Tahoma"/>
            <family val="2"/>
          </rPr>
          <t>This is your net return per lamb.  It is based on the market value per lamb less your cost to ship the lamb.
If you are shipping weekly your cost to ship is higher, but you also get more for your lambs since they are closer to target weights.</t>
        </r>
      </text>
    </comment>
    <comment ref="E56" authorId="0">
      <text>
        <r>
          <rPr>
            <sz val="10"/>
            <color indexed="8"/>
            <rFont val="Tahoma"/>
            <family val="2"/>
          </rPr>
          <t xml:space="preserve">The calculator does not affect the workbook (Flock Snapshot), it only helps you to estimate your labour time.  
You must enter your labour hours in “Farm Data”
</t>
        </r>
      </text>
    </comment>
    <comment ref="F58" authorId="0">
      <text>
        <r>
          <rPr>
            <sz val="10"/>
            <rFont val="Arial"/>
            <family val="2"/>
          </rPr>
          <t>List the tasks or periods for how time is spent on labour</t>
        </r>
      </text>
    </comment>
    <comment ref="C61" authorId="0">
      <text>
        <r>
          <rPr>
            <sz val="10"/>
            <rFont val="Arial"/>
            <family val="2"/>
          </rPr>
          <t>To Menu – The Menu describes what each page does</t>
        </r>
      </text>
    </comment>
    <comment ref="E75" authorId="0">
      <text>
        <r>
          <rPr>
            <sz val="10"/>
            <rFont val="Arial"/>
            <family val="2"/>
          </rPr>
          <t xml:space="preserve">This method does not give an accurate projection for the number of hours worked in the sheep operation so it is not recommended.  
That said, some producers expect a certain salary from their sheep operation and are less concerned with the hourly rate.  This calculator will project a budgeted number of hours based on salary and labour rate entered.
</t>
        </r>
      </text>
    </comment>
    <comment ref="G75" authorId="0">
      <text>
        <r>
          <rPr>
            <sz val="10"/>
            <rFont val="Arial"/>
            <family val="2"/>
          </rPr>
          <t>Name of the person drawing the salary</t>
        </r>
      </text>
    </comment>
    <comment ref="H75" authorId="0">
      <text>
        <r>
          <rPr>
            <sz val="10"/>
            <rFont val="Arial"/>
            <family val="2"/>
          </rPr>
          <t>Yearly salary expectation from the sheep operation</t>
        </r>
      </text>
    </comment>
    <comment ref="I75" authorId="0">
      <text>
        <r>
          <rPr>
            <sz val="10"/>
            <rFont val="Arial"/>
            <family val="2"/>
          </rPr>
          <t>Expected rate per hour return on labour</t>
        </r>
      </text>
    </comment>
    <comment ref="C78" authorId="0">
      <text>
        <r>
          <rPr>
            <sz val="10"/>
            <rFont val="Arial"/>
            <family val="2"/>
          </rPr>
          <t>To Menu – The Menu describes what each page does</t>
        </r>
      </text>
    </comment>
    <comment ref="H29" authorId="1">
      <text>
        <r>
          <rPr>
            <sz val="9"/>
            <rFont val="Tahoma"/>
            <family val="2"/>
          </rPr>
          <t xml:space="preserve">This is the cost of feed for each animal.
</t>
        </r>
      </text>
    </comment>
    <comment ref="I29" authorId="1">
      <text>
        <r>
          <rPr>
            <sz val="9"/>
            <rFont val="Tahoma"/>
            <family val="2"/>
          </rPr>
          <t xml:space="preserve">This is the pasture cost for each animal.
</t>
        </r>
      </text>
    </comment>
    <comment ref="J29" authorId="1">
      <text>
        <r>
          <rPr>
            <sz val="9"/>
            <rFont val="Tahoma"/>
            <family val="2"/>
          </rPr>
          <t xml:space="preserve">This is the total cost to feed and pasture each animal. 
</t>
        </r>
      </text>
    </comment>
    <comment ref="G37" authorId="1">
      <text>
        <r>
          <rPr>
            <sz val="9"/>
            <rFont val="Tahoma"/>
            <family val="2"/>
          </rPr>
          <t xml:space="preserve">This is the number of lambs you sell per year. 
</t>
        </r>
      </text>
    </comment>
    <comment ref="G38" authorId="1">
      <text>
        <r>
          <rPr>
            <sz val="9"/>
            <rFont val="Tahoma"/>
            <family val="2"/>
          </rPr>
          <t xml:space="preserve">This is the weight you sell your lambs at in lbs. 
</t>
        </r>
      </text>
    </comment>
    <comment ref="G52" authorId="1">
      <text>
        <r>
          <rPr>
            <sz val="9"/>
            <rFont val="Tahoma"/>
            <family val="2"/>
          </rPr>
          <t xml:space="preserve">This is your average cost to ship each lamb.
</t>
        </r>
      </text>
    </comment>
    <comment ref="H58" authorId="1">
      <text>
        <r>
          <rPr>
            <sz val="9"/>
            <rFont val="Tahoma"/>
            <family val="2"/>
          </rPr>
          <t>Number of days you spend on the task or period</t>
        </r>
      </text>
    </comment>
    <comment ref="I58" authorId="0">
      <text>
        <r>
          <rPr>
            <sz val="10"/>
            <rFont val="Arial"/>
            <family val="2"/>
          </rPr>
          <t>Enter the average number of person/hours per day worked during the days for this task or period.</t>
        </r>
      </text>
    </comment>
  </commentList>
</comments>
</file>

<file path=xl/comments11.xml><?xml version="1.0" encoding="utf-8"?>
<comments xmlns="http://schemas.openxmlformats.org/spreadsheetml/2006/main">
  <authors>
    <author/>
    <author> </author>
  </authors>
  <commentList>
    <comment ref="C13" authorId="0">
      <text>
        <r>
          <rPr>
            <sz val="10"/>
            <rFont val="Arial"/>
            <family val="2"/>
          </rPr>
          <t>To Menu – The Menu describes what each page does</t>
        </r>
      </text>
    </comment>
    <comment ref="K53" authorId="0">
      <text>
        <r>
          <rPr>
            <sz val="10"/>
            <color indexed="8"/>
            <rFont val="Tahoma"/>
            <family val="2"/>
          </rPr>
          <t xml:space="preserve">Note: You will need to use judgement in this section as the categories below may be different from your own financial records.  
As long as all of your sheep enterprise expenses are entered, the Flock Snapshot will work fine. 
</t>
        </r>
      </text>
    </comment>
    <comment ref="M53" authorId="0">
      <text>
        <r>
          <rPr>
            <sz val="10"/>
            <color indexed="8"/>
            <rFont val="Tahoma"/>
            <family val="2"/>
          </rPr>
          <t xml:space="preserve">Value per average ewe inventory.
</t>
        </r>
      </text>
    </comment>
    <comment ref="N53" authorId="0">
      <text>
        <r>
          <rPr>
            <sz val="10"/>
            <color indexed="8"/>
            <rFont val="Tahoma"/>
            <family val="2"/>
          </rPr>
          <t>Value per lamb marketed</t>
        </r>
      </text>
    </comment>
    <comment ref="Q53" authorId="0">
      <text>
        <r>
          <rPr>
            <sz val="10"/>
            <color indexed="8"/>
            <rFont val="Tahoma"/>
            <family val="2"/>
          </rPr>
          <t xml:space="preserve">Total sheep enterprise feed costs divided by the average number of ewes.
</t>
        </r>
      </text>
    </comment>
    <comment ref="Q54" authorId="0">
      <text>
        <r>
          <rPr>
            <sz val="10"/>
            <color indexed="8"/>
            <rFont val="Tahoma"/>
            <family val="2"/>
          </rPr>
          <t>Net enterprise margin divided by the average number of ewes.</t>
        </r>
      </text>
    </comment>
    <comment ref="Q55" authorId="0">
      <text>
        <r>
          <rPr>
            <sz val="10"/>
            <color indexed="8"/>
            <rFont val="Tahoma"/>
            <family val="2"/>
          </rPr>
          <t>Sheep enterprise person-hours divided by the average number of ewes.</t>
        </r>
      </text>
    </comment>
    <comment ref="Q56" authorId="0">
      <text>
        <r>
          <rPr>
            <sz val="10"/>
            <color indexed="8"/>
            <rFont val="Tahoma"/>
            <family val="2"/>
          </rPr>
          <t>Total weight of all lambs sold in all animal classes - this includes market lambs, feeders, direct to consumer, and lambs sold as breeding stock.</t>
        </r>
      </text>
    </comment>
    <comment ref="Q57" authorId="0">
      <text>
        <r>
          <rPr>
            <sz val="10"/>
            <color indexed="8"/>
            <rFont val="Tahoma"/>
            <family val="2"/>
          </rPr>
          <t>Total sheep enterprise income</t>
        </r>
      </text>
    </comment>
    <comment ref="Q58" authorId="0">
      <text>
        <r>
          <rPr>
            <sz val="10"/>
            <color indexed="8"/>
            <rFont val="Tahoma"/>
            <family val="2"/>
          </rPr>
          <t>Total value of animals purchased in the fiscal year of this Snapshot</t>
        </r>
      </text>
    </comment>
    <comment ref="Q59" authorId="0">
      <text>
        <r>
          <rPr>
            <sz val="10"/>
            <color indexed="8"/>
            <rFont val="Tahoma"/>
            <family val="2"/>
          </rPr>
          <t>This is total sales plus the difference in the value of your sheep enterprise at the end of the year compared to the start of the year.</t>
        </r>
      </text>
    </comment>
    <comment ref="Q60" authorId="0">
      <text>
        <r>
          <rPr>
            <sz val="10"/>
            <color indexed="8"/>
            <rFont val="Tahoma"/>
            <family val="2"/>
          </rPr>
          <t>This is your sheep operation's costs minus your "fixed" costs of depriciation and long-term interest.</t>
        </r>
      </text>
    </comment>
    <comment ref="Q61" authorId="0">
      <text>
        <r>
          <rPr>
            <sz val="10"/>
            <color indexed="8"/>
            <rFont val="Tahoma"/>
            <family val="2"/>
          </rPr>
          <t>This is your sheep operation's depreciation and long-term interest costs.</t>
        </r>
      </text>
    </comment>
    <comment ref="Q62" authorId="0">
      <text>
        <r>
          <rPr>
            <sz val="10"/>
            <color indexed="8"/>
            <rFont val="Tahoma"/>
            <family val="2"/>
          </rPr>
          <t>This is the total costs of your sheep operation for the fiscal year of this Snapshot.</t>
        </r>
      </text>
    </comment>
    <comment ref="Q63" authorId="0">
      <text>
        <r>
          <rPr>
            <sz val="10"/>
            <color indexed="8"/>
            <rFont val="Tahoma"/>
            <family val="2"/>
          </rPr>
          <t xml:space="preserve">Normally Gross Margin is the is the difference between cost of goods sold and gross sales.
This formula calculates "Gross Margin" as your total value of produciton minus your variable costs. </t>
        </r>
      </text>
    </comment>
    <comment ref="Q64" authorId="0">
      <text>
        <r>
          <rPr>
            <sz val="10"/>
            <color indexed="8"/>
            <rFont val="Tahoma"/>
            <family val="2"/>
          </rPr>
          <t>Gross margin divided by the average number of ewes in the flock.</t>
        </r>
      </text>
    </comment>
    <comment ref="Q65" authorId="0">
      <text>
        <r>
          <rPr>
            <sz val="10"/>
            <color indexed="8"/>
            <rFont val="Tahoma"/>
            <family val="2"/>
          </rPr>
          <t>Gross margin divided by the number of lambs marketed.</t>
        </r>
      </text>
    </comment>
    <comment ref="Q66" authorId="0">
      <text>
        <r>
          <rPr>
            <sz val="10"/>
            <color indexed="8"/>
            <rFont val="Tahoma"/>
            <family val="2"/>
          </rPr>
          <t xml:space="preserve">This forumula looks at gross margin as a percentage of your value of production. </t>
        </r>
      </text>
    </comment>
    <comment ref="Q67" authorId="0">
      <text>
        <r>
          <rPr>
            <sz val="10"/>
            <color indexed="8"/>
            <rFont val="Tahoma"/>
            <family val="2"/>
          </rPr>
          <t xml:space="preserve">This is your value of production minus total sheep enterprise costs.  
Note: This number includes the value of all labour - including unpaid labour.  </t>
        </r>
      </text>
    </comment>
    <comment ref="Q68" authorId="0">
      <text>
        <r>
          <rPr>
            <sz val="10"/>
            <color indexed="8"/>
            <rFont val="Tahoma"/>
            <family val="2"/>
          </rPr>
          <t>This is the value your sheep operation returned for the fiscal year of this Snapshot.</t>
        </r>
      </text>
    </comment>
    <comment ref="Q69" authorId="0">
      <text>
        <r>
          <rPr>
            <sz val="10"/>
            <color indexed="8"/>
            <rFont val="Tahoma"/>
            <family val="2"/>
          </rPr>
          <t xml:space="preserve">Variable costs divided by value of production </t>
        </r>
      </text>
    </comment>
    <comment ref="Q70" authorId="0">
      <text>
        <r>
          <rPr>
            <sz val="10"/>
            <color indexed="8"/>
            <rFont val="Tahoma"/>
            <family val="2"/>
          </rPr>
          <t>Fixed costs divided by value of production.</t>
        </r>
      </text>
    </comment>
    <comment ref="Q71" authorId="0">
      <text>
        <r>
          <rPr>
            <sz val="10"/>
            <color indexed="8"/>
            <rFont val="Tahoma"/>
            <family val="2"/>
          </rPr>
          <t>This is the value of all labour in the sheep operation including contract work.</t>
        </r>
      </text>
    </comment>
    <comment ref="Q72" authorId="0">
      <text>
        <r>
          <rPr>
            <sz val="10"/>
            <color indexed="8"/>
            <rFont val="Tahoma"/>
            <family val="2"/>
          </rPr>
          <t>This is total value of labour plus net enterprise margin.</t>
        </r>
      </text>
    </comment>
    <comment ref="Q73" authorId="0">
      <text>
        <r>
          <rPr>
            <sz val="10"/>
            <color indexed="8"/>
            <rFont val="Tahoma"/>
            <family val="2"/>
          </rPr>
          <t>This is the number of lambs that died divided by the number that were born in the fiscal year of this Snapshot.</t>
        </r>
      </text>
    </comment>
    <comment ref="Q74" authorId="0">
      <text>
        <r>
          <rPr>
            <sz val="10"/>
            <color indexed="8"/>
            <rFont val="Tahoma"/>
            <family val="2"/>
          </rPr>
          <t>This is the number of lambs remaining in inventory at the end of the year divided by the number born in the fiscal year of the Snapshot.</t>
        </r>
      </text>
    </comment>
    <comment ref="Q75" authorId="0">
      <text>
        <r>
          <rPr>
            <sz val="10"/>
            <color indexed="8"/>
            <rFont val="Tahoma"/>
            <family val="2"/>
          </rPr>
          <t>This is the number of grazing acres times the grazing rate entered on line 32.</t>
        </r>
      </text>
    </comment>
    <comment ref="Q77" authorId="0">
      <text>
        <r>
          <rPr>
            <sz val="10"/>
            <color indexed="8"/>
            <rFont val="Tahoma"/>
            <family val="2"/>
          </rPr>
          <t xml:space="preserve">Hours include all person-hours except contracted items such as shearing.
</t>
        </r>
      </text>
    </comment>
    <comment ref="Q78" authorId="0">
      <text>
        <r>
          <rPr>
            <sz val="10"/>
            <color indexed="8"/>
            <rFont val="Tahoma"/>
            <family val="2"/>
          </rPr>
          <t xml:space="preserve">This is the going labour rate for farm labour (we recommend you enter 15.00/hr)
</t>
        </r>
      </text>
    </comment>
    <comment ref="Q79" authorId="0">
      <text>
        <r>
          <rPr>
            <sz val="10"/>
            <color indexed="8"/>
            <rFont val="Tahoma"/>
            <family val="2"/>
          </rPr>
          <t xml:space="preserve">This is total hours less the value of any labour already claimed under owners drawings, hired help, and other labour.
Note: The value of this labour is based on what has been entered on line 31 (we recommend $15.00/hr as a fair agriculture labour rate).  The farm can of course return much more to the operator if it is profitable, but a base labour rate is needed so that we can compare across farms.
</t>
        </r>
      </text>
    </comment>
    <comment ref="K90" authorId="0">
      <text>
        <r>
          <rPr>
            <sz val="10"/>
            <color indexed="8"/>
            <rFont val="Tahoma"/>
            <family val="2"/>
          </rPr>
          <t xml:space="preserve">
</t>
        </r>
      </text>
    </comment>
    <comment ref="R93" authorId="0">
      <text>
        <r>
          <rPr>
            <sz val="10"/>
            <color indexed="8"/>
            <rFont val="Tahoma"/>
            <family val="2"/>
          </rPr>
          <t xml:space="preserve">Calculation is per lamb marketed
</t>
        </r>
      </text>
    </comment>
    <comment ref="K99" authorId="0">
      <text>
        <r>
          <rPr>
            <b/>
            <sz val="10"/>
            <color indexed="8"/>
            <rFont val="Tahoma"/>
            <family val="2"/>
          </rPr>
          <t xml:space="preserve"> :Just sheep enterprise long term interest (not land as land is rented back to the enterprise).</t>
        </r>
      </text>
    </comment>
    <comment ref="X182" authorId="0">
      <text>
        <r>
          <rPr>
            <sz val="10"/>
            <rFont val="Arial"/>
            <family val="2"/>
          </rPr>
          <t>This area is not right since it is investment per lamb sold that is being manipulated.  What you really want to know is if the investment is changing.  Think about how to fix this.</t>
        </r>
      </text>
    </comment>
    <comment ref="F7" authorId="1">
      <text>
        <r>
          <rPr>
            <sz val="9"/>
            <rFont val="Tahoma"/>
            <family val="2"/>
          </rPr>
          <t xml:space="preserve">Developed by Tony Stolz - Stolz &amp; Williams Consulting Ltd. under contract with the Alberta Lamb Traceability Pilot Project - tony@stolzwilliams.com
</t>
        </r>
      </text>
    </comment>
    <comment ref="AB133" authorId="1">
      <text>
        <r>
          <rPr>
            <sz val="9"/>
            <rFont val="Tahoma"/>
            <family val="2"/>
          </rPr>
          <t xml:space="preserve">Lamb sales are in the same ratio as the farm actual.
Breeding ewe and ram sales are also in the same ratio as farm actual.
Wool income is based on targets and ewe flock size, no "other" income is included.
</t>
        </r>
      </text>
    </comment>
    <comment ref="AB66" authorId="1">
      <text>
        <r>
          <rPr>
            <sz val="9"/>
            <rFont val="Tahoma"/>
            <family val="2"/>
          </rPr>
          <t xml:space="preserve">The benchmark model is flat - meaning there is no change in the value of the farm from opening to closing.
</t>
        </r>
      </text>
    </comment>
  </commentList>
</comments>
</file>

<file path=xl/comments12.xml><?xml version="1.0" encoding="utf-8"?>
<comments xmlns="http://schemas.openxmlformats.org/spreadsheetml/2006/main">
  <authors>
    <author/>
  </authors>
  <commentList>
    <comment ref="C2" authorId="0">
      <text>
        <r>
          <rPr>
            <sz val="10"/>
            <rFont val="Arial"/>
            <family val="2"/>
          </rPr>
          <t xml:space="preserve">This is an older version of the Flock Snapshot for producers who want to use this version. </t>
        </r>
      </text>
    </comment>
    <comment ref="K8" authorId="0">
      <text>
        <r>
          <rPr>
            <sz val="10"/>
            <rFont val="Arial"/>
            <family val="2"/>
          </rPr>
          <t>To Menu – The Menu describes what each page does</t>
        </r>
      </text>
    </comment>
    <comment ref="C9" authorId="0">
      <text>
        <r>
          <rPr>
            <sz val="10"/>
            <color indexed="8"/>
            <rFont val="Tahoma"/>
            <family val="2"/>
          </rPr>
          <t xml:space="preserve">Growth is the difference between the number of ewes at the start of the year (opening inventory) and the number of ewes at the end of the year (closing inventory) - expressed as a percentage of the opening ewe inventory.
</t>
        </r>
      </text>
    </comment>
    <comment ref="C10" authorId="0">
      <text>
        <r>
          <rPr>
            <sz val="10"/>
            <color indexed="8"/>
            <rFont val="Tahoma"/>
            <family val="2"/>
          </rPr>
          <t xml:space="preserve">This is the number of sheep enterprise acres for grazing, buildings, and other sheep infrastructure - rented and/or owned.
</t>
        </r>
      </text>
    </comment>
    <comment ref="E18" authorId="0">
      <text>
        <r>
          <rPr>
            <sz val="10"/>
            <color indexed="8"/>
            <rFont val="Tahoma"/>
            <family val="2"/>
          </rPr>
          <t xml:space="preserve">Amount divided by the average number of ewes in inventory.
</t>
        </r>
      </text>
    </comment>
    <comment ref="F18" authorId="0">
      <text>
        <r>
          <rPr>
            <sz val="10"/>
            <color indexed="8"/>
            <rFont val="Tahoma"/>
            <family val="2"/>
          </rPr>
          <t xml:space="preserve">Amount divided by the number of lambs marketed.
</t>
        </r>
      </text>
    </comment>
    <comment ref="G18" authorId="0">
      <text>
        <r>
          <rPr>
            <sz val="10"/>
            <color indexed="8"/>
            <rFont val="Tahoma"/>
            <family val="2"/>
          </rPr>
          <t xml:space="preserve">Amount divided by the number of lambs born less death loss.
</t>
        </r>
      </text>
    </comment>
    <comment ref="H18" authorId="0">
      <text>
        <r>
          <rPr>
            <sz val="10"/>
            <color indexed="8"/>
            <rFont val="Tahoma"/>
            <family val="2"/>
          </rPr>
          <t xml:space="preserve">Amount divided by the number of pounds of lamb sold or retained.
</t>
        </r>
      </text>
    </comment>
    <comment ref="C19" authorId="0">
      <text>
        <r>
          <rPr>
            <sz val="10"/>
            <color indexed="8"/>
            <rFont val="Tahoma"/>
            <family val="2"/>
          </rPr>
          <t xml:space="preserve">Total sheep enterprise expenses.
</t>
        </r>
      </text>
    </comment>
    <comment ref="C20" authorId="0">
      <text>
        <r>
          <rPr>
            <sz val="10"/>
            <color indexed="8"/>
            <rFont val="Tahoma"/>
            <family val="2"/>
          </rPr>
          <t xml:space="preserve">Total sheep enterprise income.
</t>
        </r>
      </text>
    </comment>
    <comment ref="C21" authorId="0">
      <text>
        <r>
          <rPr>
            <sz val="10"/>
            <color indexed="8"/>
            <rFont val="Tahoma"/>
            <family val="2"/>
          </rPr>
          <t xml:space="preserve">Net margin takes into account income, expenses, depreciation, as well as the value of the operation from the start of the year to the end of the year.  For example if your sheep operation grew, the value of the breeding stock would be included in this calculation.  For this number to be positive, your operation would need to return over $15.00/hr.
</t>
        </r>
      </text>
    </comment>
    <comment ref="C22" authorId="0">
      <text>
        <r>
          <rPr>
            <sz val="10"/>
            <color indexed="8"/>
            <rFont val="Tahoma"/>
            <family val="2"/>
          </rPr>
          <t xml:space="preserve">This is the value your sheep enterprised returned to you.  It is your net margin (see above) with the value of your labour (at the labour rate specified … suggested at $15.00/hr) removed.  
</t>
        </r>
      </text>
    </comment>
    <comment ref="C23" authorId="0">
      <text>
        <r>
          <rPr>
            <sz val="10"/>
            <color indexed="8"/>
            <rFont val="Tahoma"/>
            <family val="2"/>
          </rPr>
          <t xml:space="preserve">This is the reported value of your sheep enterprise.
</t>
        </r>
      </text>
    </comment>
    <comment ref="C24" authorId="0">
      <text>
        <r>
          <rPr>
            <sz val="10"/>
            <color indexed="8"/>
            <rFont val="Tahoma"/>
            <family val="2"/>
          </rPr>
          <t xml:space="preserve">This is the number of acres reported used for the sheep enterprise.  It should only include grazing, building, and sheep infrastructure area. </t>
        </r>
      </text>
    </comment>
    <comment ref="C25" authorId="0">
      <text>
        <r>
          <rPr>
            <sz val="10"/>
            <color indexed="8"/>
            <rFont val="Tahoma"/>
            <family val="2"/>
          </rPr>
          <t xml:space="preserve">This is the number of person-hours labour reported for the sheep enterprise for the year.
</t>
        </r>
      </text>
    </comment>
    <comment ref="F27" authorId="0">
      <text>
        <r>
          <rPr>
            <sz val="10"/>
            <color indexed="8"/>
            <rFont val="Tahoma"/>
            <family val="2"/>
          </rPr>
          <t xml:space="preserve">These targets are based on how top performing flocks performed in each category.  Due to variations in management these targets should only be used as </t>
        </r>
        <r>
          <rPr>
            <u val="single"/>
            <sz val="10"/>
            <color indexed="8"/>
            <rFont val="Tahoma"/>
            <family val="2"/>
          </rPr>
          <t xml:space="preserve">guidelines </t>
        </r>
        <r>
          <rPr>
            <sz val="10"/>
            <color indexed="8"/>
            <rFont val="Tahoma"/>
            <family val="2"/>
          </rPr>
          <t xml:space="preserve">to help identify </t>
        </r>
        <r>
          <rPr>
            <u val="single"/>
            <sz val="10"/>
            <color indexed="8"/>
            <rFont val="Tahoma"/>
            <family val="2"/>
          </rPr>
          <t>potential</t>
        </r>
        <r>
          <rPr>
            <sz val="10"/>
            <color indexed="8"/>
            <rFont val="Tahoma"/>
            <family val="2"/>
          </rPr>
          <t xml:space="preserve"> problem areas in your sheep enterprise.  For this reason it is important to </t>
        </r>
        <r>
          <rPr>
            <u val="single"/>
            <sz val="10"/>
            <color indexed="8"/>
            <rFont val="Tahoma"/>
            <family val="2"/>
          </rPr>
          <t>identlfy your own</t>
        </r>
        <r>
          <rPr>
            <sz val="10"/>
            <color indexed="8"/>
            <rFont val="Tahoma"/>
            <family val="2"/>
          </rPr>
          <t xml:space="preserve"> performance targets that are appropriate for your operation to be profitable. 
</t>
        </r>
      </text>
    </comment>
    <comment ref="E29" authorId="0">
      <text>
        <r>
          <rPr>
            <sz val="10"/>
            <color indexed="8"/>
            <rFont val="Tahoma"/>
            <family val="2"/>
          </rPr>
          <t xml:space="preserve">Total farm feed costs divided by the number of lambs marketed.
</t>
        </r>
      </text>
    </comment>
    <comment ref="E30" authorId="0">
      <text>
        <r>
          <rPr>
            <sz val="10"/>
            <color indexed="8"/>
            <rFont val="Tahoma"/>
            <family val="2"/>
          </rPr>
          <t>This is costs divided by the number of lambs marketed.</t>
        </r>
      </text>
    </comment>
    <comment ref="E31" authorId="0">
      <text>
        <r>
          <rPr>
            <sz val="10"/>
            <color indexed="8"/>
            <rFont val="Tahoma"/>
            <family val="2"/>
          </rPr>
          <t xml:space="preserve">Costs of production divided by the number of lbs lamb sold.  This includes the weight of breeding stock, feeder, and market lambs.
</t>
        </r>
      </text>
    </comment>
    <comment ref="E32" authorId="0">
      <text>
        <r>
          <rPr>
            <sz val="10"/>
            <color indexed="8"/>
            <rFont val="Tahoma"/>
            <family val="2"/>
          </rPr>
          <t xml:space="preserve">This is the total current value of equipment (including tractors, feed processors, shearing equipment, small tools, etc.) divided by the number of lambs marketed. </t>
        </r>
      </text>
    </comment>
    <comment ref="E33" authorId="0">
      <text>
        <r>
          <rPr>
            <sz val="10"/>
            <color indexed="8"/>
            <rFont val="Tahoma"/>
            <family val="2"/>
          </rPr>
          <t>This is the total current value of your buildings, feeders, grain bins, etc., divided by the number of lambs marketed.</t>
        </r>
      </text>
    </comment>
    <comment ref="E34" authorId="0">
      <text>
        <r>
          <rPr>
            <b/>
            <sz val="10"/>
            <color indexed="8"/>
            <rFont val="Tahoma"/>
            <family val="2"/>
          </rPr>
          <t>This is total operation gross income divided by the number of lambs marketed.</t>
        </r>
      </text>
    </comment>
    <comment ref="E35" authorId="0">
      <text>
        <r>
          <rPr>
            <sz val="10"/>
            <color indexed="8"/>
            <rFont val="Tahoma"/>
            <family val="2"/>
          </rPr>
          <t xml:space="preserve">This is your average income per lamb markeded. 
</t>
        </r>
      </text>
    </comment>
    <comment ref="E36" authorId="0">
      <text>
        <r>
          <rPr>
            <sz val="10"/>
            <color indexed="8"/>
            <rFont val="Tahoma"/>
            <family val="2"/>
          </rPr>
          <t xml:space="preserve">This is the average price per lamb markeded you would need for your operation to make $15.00 per hour based on your current expenses and flock performance. 
</t>
        </r>
      </text>
    </comment>
    <comment ref="E37" authorId="0">
      <text>
        <r>
          <rPr>
            <sz val="10"/>
            <color indexed="8"/>
            <rFont val="Tahoma"/>
            <family val="2"/>
          </rPr>
          <t xml:space="preserve">This is the average price per lamb markeded you would need for your operation to "break even" not counting your labour based on your current expenses and flock performance. 
</t>
        </r>
      </text>
    </comment>
    <comment ref="E38" authorId="0">
      <text>
        <r>
          <rPr>
            <sz val="10"/>
            <color indexed="8"/>
            <rFont val="Tahoma"/>
            <family val="2"/>
          </rPr>
          <t xml:space="preserve">This is your farm's total net margin divided by the number of lambs marketed.  Since labour is included at a rate of $15.00/hr, this number will be negative until income is higher than $15.00/hr.
</t>
        </r>
      </text>
    </comment>
    <comment ref="E39" authorId="0">
      <text>
        <r>
          <rPr>
            <sz val="10"/>
            <color indexed="8"/>
            <rFont val="Tahoma"/>
            <family val="2"/>
          </rPr>
          <t>This is your net margin divided by your sheep enterprise investment.  The labour costs in this calculation are at the base rate entered in the analyisis tab.
Note: This version of the Flock Snapshot did not add back long-term interest to net margin - so the reported value is lower.  The new ROI calculation is a better way to express the operation's theoretical returns.</t>
        </r>
      </text>
    </comment>
    <comment ref="E41" authorId="0">
      <text>
        <r>
          <rPr>
            <sz val="10"/>
            <color indexed="8"/>
            <rFont val="Tahoma"/>
            <family val="2"/>
          </rPr>
          <t xml:space="preserve">Total reported sheep enterprise person-hours divided by the numbmer of lambs marketed.
</t>
        </r>
      </text>
    </comment>
    <comment ref="E42" authorId="0">
      <text>
        <r>
          <rPr>
            <sz val="10"/>
            <color indexed="8"/>
            <rFont val="Tahoma"/>
            <family val="2"/>
          </rPr>
          <t xml:space="preserve">This is your net enterprise margin without labour divided by the number of sheep enterprise person-hours.  
</t>
        </r>
      </text>
    </comment>
    <comment ref="E43" authorId="0">
      <text>
        <r>
          <rPr>
            <sz val="10"/>
            <color indexed="8"/>
            <rFont val="Tahoma"/>
            <family val="2"/>
          </rPr>
          <t xml:space="preserve">Number of viable lambs born (must live 24+ hours) divided by the number of ewes exposed.
</t>
        </r>
      </text>
    </comment>
    <comment ref="E44" authorId="0">
      <text>
        <r>
          <rPr>
            <sz val="10"/>
            <color indexed="8"/>
            <rFont val="Tahoma"/>
            <family val="2"/>
          </rPr>
          <t xml:space="preserve">This is the number of lambs marketed or retained in the flock divided by the number of ewes exposed.
</t>
        </r>
      </text>
    </comment>
    <comment ref="E45" authorId="0">
      <text>
        <r>
          <rPr>
            <sz val="10"/>
            <color indexed="8"/>
            <rFont val="Tahoma"/>
            <family val="2"/>
          </rPr>
          <t xml:space="preserve">This is number of lamb deaths (24+ hours old to marketing or retaining as breeding stock) divided by the number of lambs born plus the number of lambs purchased, plus the number of lambs carried over from the previous fiscal year.
</t>
        </r>
      </text>
    </comment>
    <comment ref="E46" authorId="0">
      <text>
        <r>
          <rPr>
            <sz val="10"/>
            <color indexed="8"/>
            <rFont val="Tahoma"/>
            <family val="2"/>
          </rPr>
          <t xml:space="preserve">This is the number of breeding deaths divided by the average number of breeding ewes in the flock.
</t>
        </r>
      </text>
    </comment>
    <comment ref="E47" authorId="0">
      <text>
        <r>
          <rPr>
            <sz val="10"/>
            <color indexed="8"/>
            <rFont val="Tahoma"/>
            <family val="2"/>
          </rPr>
          <t xml:space="preserve">This is the number of breeding ram deaths divided by the number of rams in the flock.
</t>
        </r>
      </text>
    </comment>
  </commentList>
</comments>
</file>

<file path=xl/comments2.xml><?xml version="1.0" encoding="utf-8"?>
<comments xmlns="http://schemas.openxmlformats.org/spreadsheetml/2006/main">
  <authors>
    <author/>
  </authors>
  <commentList>
    <comment ref="C6" authorId="0">
      <text>
        <r>
          <rPr>
            <sz val="10"/>
            <rFont val="Arial"/>
            <family val="2"/>
          </rPr>
          <t>To Farm Data</t>
        </r>
      </text>
    </comment>
    <comment ref="C8" authorId="0">
      <text>
        <r>
          <rPr>
            <sz val="10"/>
            <rFont val="Arial"/>
            <family val="2"/>
          </rPr>
          <t>To Welcome screen</t>
        </r>
      </text>
    </comment>
  </commentList>
</comments>
</file>

<file path=xl/comments3.xml><?xml version="1.0" encoding="utf-8"?>
<comments xmlns="http://schemas.openxmlformats.org/spreadsheetml/2006/main">
  <authors>
    <author/>
    <author> </author>
  </authors>
  <commentList>
    <comment ref="E3" authorId="0">
      <text>
        <r>
          <rPr>
            <sz val="10"/>
            <rFont val="Arial"/>
            <family val="2"/>
          </rPr>
          <t>Data entered to the Flock Snapshot should be limited to the sheep enterprise only.  
i.e. Making hay or raising cattle are both different farming “enterprises” so costs and labour for making hay or working with cattle would not be included here.
See the Background tab for more information on how the Flock Snapshot calculates data.</t>
        </r>
      </text>
    </comment>
    <comment ref="C9" authorId="0">
      <text>
        <r>
          <rPr>
            <sz val="10"/>
            <rFont val="Arial"/>
            <family val="2"/>
          </rPr>
          <t xml:space="preserve">To Equipment </t>
        </r>
      </text>
    </comment>
    <comment ref="C12" authorId="0">
      <text>
        <r>
          <rPr>
            <sz val="10"/>
            <rFont val="Arial"/>
            <family val="2"/>
          </rPr>
          <t>Back to Welcome screen</t>
        </r>
      </text>
    </comment>
    <comment ref="C16" authorId="0">
      <text>
        <r>
          <rPr>
            <sz val="10"/>
            <rFont val="Arial"/>
            <family val="2"/>
          </rPr>
          <t>To Menu – The Menu describes what each page does.</t>
        </r>
      </text>
    </comment>
    <comment ref="C31" authorId="0">
      <text>
        <r>
          <rPr>
            <sz val="10"/>
            <rFont val="Arial"/>
            <family val="2"/>
          </rPr>
          <t xml:space="preserve">To Calculators page including:
- Labour Calculator 
- Feed Calculator 
- Marketing Calculator 
</t>
        </r>
      </text>
    </comment>
    <comment ref="G31" authorId="0">
      <text>
        <r>
          <rPr>
            <sz val="10"/>
            <rFont val="Arial"/>
            <family val="2"/>
          </rPr>
          <t xml:space="preserve">This is person-hours worked doing general farm labour.  
(i.e. If 2 people worked 500 hours each with the sheep, you would enter 1000 hours)
Include only sheep enterprise general farm labour hours.
</t>
        </r>
        <r>
          <rPr>
            <b/>
            <sz val="10"/>
            <rFont val="Arial"/>
            <family val="2"/>
          </rPr>
          <t xml:space="preserve">TIP – Go to the Calculators tab to figure out your hours
</t>
        </r>
      </text>
    </comment>
    <comment ref="G32" authorId="0">
      <text>
        <r>
          <rPr>
            <sz val="10"/>
            <rFont val="Arial"/>
            <family val="2"/>
          </rPr>
          <t xml:space="preserve">Management hours includes analysis and other strategic work.
Include only sheep enterprise management hours.
</t>
        </r>
      </text>
    </comment>
    <comment ref="G34" authorId="0">
      <text>
        <r>
          <rPr>
            <sz val="10"/>
            <rFont val="Arial"/>
            <family val="2"/>
          </rPr>
          <t>This is how much you expect to be paid for general farm labour.
The Snapshot charges your operation this rate times the number of farm labour hours when it calculates your farm labour costs.</t>
        </r>
      </text>
    </comment>
    <comment ref="G35" authorId="0">
      <text>
        <r>
          <rPr>
            <sz val="10"/>
            <rFont val="Arial"/>
            <family val="2"/>
          </rPr>
          <t xml:space="preserve">This is how much you expect to be paid for your “Management” labour.  
(Management includes analysis and other strategic work)
The Snapshot charges your operation this rate times the number of managment hours when it calculates your farm labour costs.
</t>
        </r>
      </text>
    </comment>
    <comment ref="C38" authorId="0">
      <text>
        <r>
          <rPr>
            <sz val="10"/>
            <rFont val="Arial"/>
            <family val="2"/>
          </rPr>
          <t xml:space="preserve">To Equipment </t>
        </r>
      </text>
    </comment>
    <comment ref="G5" authorId="1">
      <text>
        <r>
          <rPr>
            <sz val="10"/>
            <rFont val="Tahoma"/>
            <family val="2"/>
          </rPr>
          <t>This is the number of ewes and ewe lambs on-farm on January 1 that should have lambed in the year of the Flock Snapshot.</t>
        </r>
      </text>
    </comment>
    <comment ref="G6" authorId="1">
      <text>
        <r>
          <rPr>
            <sz val="10"/>
            <rFont val="Tahoma"/>
            <family val="2"/>
          </rPr>
          <t>Number of ewes that died in the year of the Flock Snapshot (January 1 to December 31).</t>
        </r>
      </text>
    </comment>
    <comment ref="G7" authorId="1">
      <text>
        <r>
          <rPr>
            <sz val="10"/>
            <rFont val="Tahoma"/>
            <family val="2"/>
          </rPr>
          <t>This is your best estimate of the average value of your breeding ewes and breeding ewe-lambs.</t>
        </r>
      </text>
    </comment>
    <comment ref="G8" authorId="1">
      <text>
        <r>
          <rPr>
            <sz val="10"/>
            <rFont val="Tahoma"/>
            <family val="2"/>
          </rPr>
          <t xml:space="preserve">This is the number of ewes that were exposed to a ram and that should have lambed in the year of this Snapshot.  (This number is used to calculate lambing percentage)
Note: Accelerated flocks recommendation - Count ewes just once even if they gave birth twice.  That way the Flock Snapshot will generate the total productivity of the ewe flock for the year.   </t>
        </r>
      </text>
    </comment>
    <comment ref="G9" authorId="1">
      <text>
        <r>
          <rPr>
            <sz val="10"/>
            <rFont val="Tahoma"/>
            <family val="2"/>
          </rPr>
          <t xml:space="preserve">This is the number of ewes that gave birth whether or not the lambs survived. 
Accelerated flocks recommendation: Count ewes just once if they gave birth twice in the year.  </t>
        </r>
      </text>
    </comment>
    <comment ref="G13" authorId="1">
      <text>
        <r>
          <rPr>
            <sz val="10"/>
            <rFont val="Tahoma"/>
            <family val="2"/>
          </rPr>
          <t>Breeding rams (rams and breeding ram lambs) that died in the calendar year.</t>
        </r>
        <r>
          <rPr>
            <b/>
            <sz val="10"/>
            <rFont val="Tahoma"/>
            <family val="2"/>
          </rPr>
          <t xml:space="preserve">
</t>
        </r>
      </text>
    </comment>
    <comment ref="G14" authorId="1">
      <text>
        <r>
          <rPr>
            <sz val="10"/>
            <rFont val="Tahoma"/>
            <family val="2"/>
          </rPr>
          <t xml:space="preserve">This is the average value of your rams.
</t>
        </r>
      </text>
    </comment>
    <comment ref="G16" authorId="1">
      <text>
        <r>
          <rPr>
            <sz val="10"/>
            <rFont val="Tahoma"/>
            <family val="2"/>
          </rPr>
          <t xml:space="preserve">Lambs on farm at the start of the year (January 1).
Note: Bred ewe lambs (ewe lambs that were expected to lamb in the calendar year of this Flock Snapshot) should be counted as </t>
        </r>
        <r>
          <rPr>
            <u val="single"/>
            <sz val="10"/>
            <rFont val="Tahoma"/>
            <family val="2"/>
          </rPr>
          <t>ewes</t>
        </r>
        <r>
          <rPr>
            <sz val="10"/>
            <rFont val="Tahoma"/>
            <family val="2"/>
          </rPr>
          <t xml:space="preserve"> in the opening inventory.
</t>
        </r>
      </text>
    </comment>
    <comment ref="G17" authorId="1">
      <text>
        <r>
          <rPr>
            <sz val="10"/>
            <rFont val="Tahoma"/>
            <family val="2"/>
          </rPr>
          <t xml:space="preserve">All lambs that were born whether they lived or died.
Note: It does not matter if the flock is accelerated or not - please enter the number of births period.
</t>
        </r>
      </text>
    </comment>
    <comment ref="G18" authorId="1">
      <text>
        <r>
          <rPr>
            <sz val="10"/>
            <rFont val="Tahoma"/>
            <family val="2"/>
          </rPr>
          <t xml:space="preserve">These are ewe lambs from either your opening lamb inventory or that were just born (above field) that were transferred to the flock as breeding stock to lamb next year.
</t>
        </r>
      </text>
    </comment>
    <comment ref="G19" authorId="1">
      <text>
        <r>
          <rPr>
            <sz val="10"/>
            <rFont val="Tahoma"/>
            <family val="2"/>
          </rPr>
          <t xml:space="preserve">These are ram lambs from either your opening lamb inventory or that were just born (above field) that were transferred to the flock as breeding stock to breed next year.
</t>
        </r>
      </text>
    </comment>
    <comment ref="G20" authorId="1">
      <text>
        <r>
          <rPr>
            <sz val="10"/>
            <rFont val="Tahoma"/>
            <family val="2"/>
          </rPr>
          <t xml:space="preserve">This number includes all lambs that died including still-borns.
</t>
        </r>
      </text>
    </comment>
    <comment ref="G21" authorId="1">
      <text>
        <r>
          <rPr>
            <sz val="10"/>
            <rFont val="Tahoma"/>
            <family val="2"/>
          </rPr>
          <t xml:space="preserve">This is the average value of lambs that remained on-farm at the end of the year.  Please fill this in even if you didn't have any lambs left at the end of the year.
</t>
        </r>
      </text>
    </comment>
    <comment ref="G37" authorId="1">
      <text>
        <r>
          <rPr>
            <sz val="10"/>
            <rFont val="Tahoma"/>
            <family val="2"/>
          </rPr>
          <t xml:space="preserve">This is the going land rental rate for grazing in your area.
You need to enter a rate whether you rent or not.  The Snapshot uses this rate and the number of acres you graze to calculate your grazing costs.
</t>
        </r>
        <r>
          <rPr>
            <u val="single"/>
            <sz val="10"/>
            <rFont val="Tahoma"/>
            <family val="2"/>
          </rPr>
          <t xml:space="preserve">Guidelines </t>
        </r>
        <r>
          <rPr>
            <sz val="10"/>
            <rFont val="Tahoma"/>
            <family val="2"/>
          </rPr>
          <t xml:space="preserve">
Central Alberta - $25/acre
Peace &amp; southern Alberta - $10/acre </t>
        </r>
      </text>
    </comment>
    <comment ref="F28" authorId="1">
      <text>
        <r>
          <rPr>
            <sz val="9"/>
            <rFont val="Tahoma"/>
            <family val="2"/>
          </rPr>
          <t xml:space="preserve">This area is for "other" </t>
        </r>
        <r>
          <rPr>
            <b/>
            <sz val="9"/>
            <rFont val="Tahoma"/>
            <family val="2"/>
          </rPr>
          <t xml:space="preserve">sheep enterprise </t>
        </r>
        <r>
          <rPr>
            <sz val="9"/>
            <rFont val="Tahoma"/>
            <family val="2"/>
          </rPr>
          <t xml:space="preserve">animals (i.e. herding dogs)
NOTE: </t>
        </r>
        <r>
          <rPr>
            <u val="single"/>
            <sz val="9"/>
            <rFont val="Tahoma"/>
            <family val="2"/>
          </rPr>
          <t>Do not</t>
        </r>
        <r>
          <rPr>
            <sz val="9"/>
            <rFont val="Tahoma"/>
            <family val="2"/>
          </rPr>
          <t xml:space="preserve"> include cows, pigs, chickens, etc. … just sheep enterprise animals 
</t>
        </r>
      </text>
    </comment>
    <comment ref="G12" authorId="1">
      <text>
        <r>
          <rPr>
            <sz val="9"/>
            <rFont val="Tahoma"/>
            <family val="2"/>
          </rPr>
          <t xml:space="preserve">This is the number of </t>
        </r>
        <r>
          <rPr>
            <u val="single"/>
            <sz val="9"/>
            <rFont val="Tahoma"/>
            <family val="2"/>
          </rPr>
          <t>breeding</t>
        </r>
        <r>
          <rPr>
            <sz val="9"/>
            <rFont val="Tahoma"/>
            <family val="2"/>
          </rPr>
          <t xml:space="preserve"> rams and ram lambs on January 1. 
</t>
        </r>
      </text>
    </comment>
    <comment ref="G24" authorId="1">
      <text>
        <r>
          <rPr>
            <b/>
            <sz val="9"/>
            <rFont val="Tahoma"/>
            <family val="2"/>
          </rPr>
          <t>Value should consider:</t>
        </r>
        <r>
          <rPr>
            <sz val="9"/>
            <rFont val="Tahoma"/>
            <family val="2"/>
          </rPr>
          <t xml:space="preserve">
1 - Purchase price, vaccinations, neutering, plus feeding to get animals to "working" size/age.
2 - Else, "market price" paid for mature animal
</t>
        </r>
      </text>
    </comment>
    <comment ref="G25" authorId="1">
      <text>
        <r>
          <rPr>
            <sz val="9"/>
            <rFont val="Tahoma"/>
            <family val="2"/>
          </rPr>
          <t xml:space="preserve">Other guardians can include llamas, donkeys, etc.
</t>
        </r>
      </text>
    </comment>
    <comment ref="G39" authorId="1">
      <text>
        <r>
          <rPr>
            <sz val="9"/>
            <rFont val="Tahoma"/>
            <family val="2"/>
          </rPr>
          <t xml:space="preserve">Try to use a "real" depreciation rate … ie what you think "reality" will be.   
Recommended rates to use are 8% for equipment, 3% for buildings and infrastructue, and 30% for electronics. 
Note: Revenue Canada rates are not necessarily accurate.  Revenue Canada rates are designed for the tax system - they may or may not reflect the real depeciation of your assets. 
</t>
        </r>
      </text>
    </comment>
    <comment ref="G40" authorId="1">
      <text>
        <r>
          <rPr>
            <sz val="9"/>
            <rFont val="Tahoma"/>
            <family val="2"/>
          </rPr>
          <t xml:space="preserve">Try to use a "real" depreciation rate … ie what you think "reality" will be.   
Recommended rates to use are 8% for equipment, 3% for buildings and infrastructue, and 30% for electronics. 
Note: Revenue Canada rates are not necessarily accurate.  Revenue Canada rates are designed for the tax system - they may or may not reflect the real depeciation of your assets. 
</t>
        </r>
      </text>
    </comment>
    <comment ref="G41" authorId="1">
      <text>
        <r>
          <rPr>
            <sz val="9"/>
            <rFont val="Tahoma"/>
            <family val="2"/>
          </rPr>
          <t xml:space="preserve">Try to use a "real" depreciation rate … ie what you think "reality" will be.   
Recommended rates to use are 8% for equipment, 3% for buildings and infrastructue, and 30% for electronics. 
Note: Revenue Canada rates are not necessarily accurate.  Revenue Canada rates are designed for the tax system - they may or may not reflect the real depeciation of your assets. 
</t>
        </r>
      </text>
    </comment>
    <comment ref="G38" authorId="1">
      <text>
        <r>
          <rPr>
            <sz val="9"/>
            <rFont val="Tahoma"/>
            <family val="2"/>
          </rPr>
          <t xml:space="preserve">This is the going land rental rate for grazing in your area.
You need to enter a rate whether you rent or not.  The Snapshot uses this rate and the number of acres you graze to calculate your grazing costs.
Guidelines 
Central Alberta - $25/acre
Peace &amp; southern Alberta - $10/acre 
</t>
        </r>
      </text>
    </comment>
  </commentList>
</comments>
</file>

<file path=xl/comments4.xml><?xml version="1.0" encoding="utf-8"?>
<comments xmlns="http://schemas.openxmlformats.org/spreadsheetml/2006/main">
  <authors>
    <author/>
  </authors>
  <commentList>
    <comment ref="G7" authorId="0">
      <text>
        <r>
          <rPr>
            <sz val="10"/>
            <color indexed="8"/>
            <rFont val="Tahoma"/>
            <family val="2"/>
          </rPr>
          <t xml:space="preserve">List all tools and equipment used in the sheep operation
</t>
        </r>
      </text>
    </comment>
    <comment ref="H7" authorId="0">
      <text>
        <r>
          <rPr>
            <sz val="10"/>
            <color indexed="8"/>
            <rFont val="Tahoma"/>
            <family val="2"/>
          </rPr>
          <t>This is the "fair market value" for the item.  How much would it sell for at auction?</t>
        </r>
      </text>
    </comment>
    <comment ref="I7" authorId="0">
      <text>
        <r>
          <rPr>
            <sz val="10"/>
            <color indexed="8"/>
            <rFont val="Tahoma"/>
            <family val="2"/>
          </rPr>
          <t>This is the percentage the item is used in the sheep operation.</t>
        </r>
      </text>
    </comment>
    <comment ref="C11" authorId="0">
      <text>
        <r>
          <rPr>
            <sz val="10"/>
            <rFont val="Arial"/>
            <family val="2"/>
          </rPr>
          <t>To Income</t>
        </r>
      </text>
    </comment>
    <comment ref="C14" authorId="0">
      <text>
        <r>
          <rPr>
            <sz val="10"/>
            <rFont val="Arial"/>
            <family val="2"/>
          </rPr>
          <t>Back to Farm Data</t>
        </r>
      </text>
    </comment>
    <comment ref="C19" authorId="0">
      <text>
        <r>
          <rPr>
            <sz val="10"/>
            <rFont val="Arial"/>
            <family val="2"/>
          </rPr>
          <t>To Menu – The Menu describes what each page does</t>
        </r>
      </text>
    </comment>
    <comment ref="G19" authorId="0">
      <text>
        <r>
          <rPr>
            <sz val="10"/>
            <color indexed="8"/>
            <rFont val="Tahoma"/>
            <family val="2"/>
          </rPr>
          <t>List all buildings and infrastructure items used in the sheep operation</t>
        </r>
      </text>
    </comment>
    <comment ref="H19" authorId="0">
      <text>
        <r>
          <rPr>
            <sz val="10"/>
            <color indexed="8"/>
            <rFont val="Tahoma"/>
            <family val="2"/>
          </rPr>
          <t>This is the "fair market value" for the item.  How much would it sell for at auction?</t>
        </r>
      </text>
    </comment>
    <comment ref="I19" authorId="0">
      <text>
        <r>
          <rPr>
            <sz val="10"/>
            <color indexed="8"/>
            <rFont val="Tahoma"/>
            <family val="2"/>
          </rPr>
          <t>This is the percentage the item is used in the sheep operation.</t>
        </r>
      </text>
    </comment>
    <comment ref="G31" authorId="0">
      <text>
        <r>
          <rPr>
            <sz val="10"/>
            <color indexed="8"/>
            <rFont val="Tahoma"/>
            <family val="2"/>
          </rPr>
          <t>List of office and other electronic items used in the sheep operation</t>
        </r>
      </text>
    </comment>
    <comment ref="H31" authorId="0">
      <text>
        <r>
          <rPr>
            <sz val="10"/>
            <color indexed="8"/>
            <rFont val="Tahoma"/>
            <family val="2"/>
          </rPr>
          <t>This is the "fair market value" for the item.  How much would it sell for at auction?</t>
        </r>
      </text>
    </comment>
    <comment ref="I31" authorId="0">
      <text>
        <r>
          <rPr>
            <sz val="10"/>
            <color indexed="8"/>
            <rFont val="Tahoma"/>
            <family val="2"/>
          </rPr>
          <t>This is the percentage the item is used in the sheep operation.</t>
        </r>
      </text>
    </comment>
    <comment ref="C38" authorId="0">
      <text>
        <r>
          <rPr>
            <sz val="10"/>
            <rFont val="Arial"/>
            <family val="2"/>
          </rPr>
          <t>To Income</t>
        </r>
      </text>
    </comment>
    <comment ref="H38" authorId="0">
      <text>
        <r>
          <rPr>
            <sz val="10"/>
            <color indexed="8"/>
            <rFont val="Tahoma"/>
            <family val="2"/>
          </rPr>
          <t>Grazing - Include all grazing land used for the sheep operation whether it is rented or owned.
Building site area - This is basically the building site "footprint".  It does not include your house.</t>
        </r>
      </text>
    </comment>
    <comment ref="I38" authorId="0">
      <text>
        <r>
          <rPr>
            <sz val="10"/>
            <color indexed="8"/>
            <rFont val="Tahoma"/>
            <family val="2"/>
          </rPr>
          <t>This is the percentage the item is used in the sheep operation.</t>
        </r>
      </text>
    </comment>
  </commentList>
</comments>
</file>

<file path=xl/comments5.xml><?xml version="1.0" encoding="utf-8"?>
<comments xmlns="http://schemas.openxmlformats.org/spreadsheetml/2006/main">
  <authors>
    <author/>
    <author> </author>
  </authors>
  <commentList>
    <comment ref="G8" authorId="0">
      <text>
        <r>
          <rPr>
            <sz val="10"/>
            <color indexed="8"/>
            <rFont val="Tahoma"/>
            <family val="2"/>
          </rPr>
          <t xml:space="preserve">Number of animals sold
</t>
        </r>
      </text>
    </comment>
    <comment ref="H8" authorId="0">
      <text>
        <r>
          <rPr>
            <sz val="10"/>
            <color indexed="8"/>
            <rFont val="Tahoma"/>
            <family val="2"/>
          </rPr>
          <t xml:space="preserve">This is the average live weight per lamb.  Use your best guess if you are not sure (weight must be in lbs).
Note: Weights must be entered for each sales category that asks for weight.
</t>
        </r>
      </text>
    </comment>
    <comment ref="J8" authorId="0">
      <text>
        <r>
          <rPr>
            <sz val="10"/>
            <color indexed="8"/>
            <rFont val="Tahoma"/>
            <family val="2"/>
          </rPr>
          <t xml:space="preserve">Total amount received for the animals.
</t>
        </r>
      </text>
    </comment>
    <comment ref="K8" authorId="0">
      <text>
        <r>
          <rPr>
            <sz val="10"/>
            <color indexed="8"/>
            <rFont val="Tahoma"/>
            <family val="2"/>
          </rPr>
          <t xml:space="preserve">This field calculates the average amount received per animal.
Note: Make sure you have entered the number sold in Colum D and the total amount Colum E or this field will not calculate properly.
</t>
        </r>
      </text>
    </comment>
    <comment ref="O8" authorId="0">
      <text>
        <r>
          <rPr>
            <sz val="10"/>
            <color indexed="8"/>
            <rFont val="Tahoma"/>
            <family val="2"/>
          </rPr>
          <t>This field adds up the total number of pounds of lamb for each class of animal.</t>
        </r>
      </text>
    </comment>
    <comment ref="P8" authorId="0">
      <text>
        <r>
          <rPr>
            <sz val="10"/>
            <color indexed="8"/>
            <rFont val="Tahoma"/>
            <family val="2"/>
          </rPr>
          <t xml:space="preserve">This is the average price per pound received per animal.
Note: If you are seeing an error below you need to enter the weight per head.  If you don't know just use a rough guess.
</t>
        </r>
      </text>
    </comment>
    <comment ref="C10" authorId="0">
      <text>
        <r>
          <rPr>
            <sz val="10"/>
            <rFont val="Arial"/>
            <family val="2"/>
          </rPr>
          <t>To Expenses</t>
        </r>
      </text>
    </comment>
    <comment ref="C12" authorId="0">
      <text>
        <r>
          <rPr>
            <sz val="10"/>
            <rFont val="Arial"/>
            <family val="2"/>
          </rPr>
          <t>Back to Equipment</t>
        </r>
      </text>
    </comment>
    <comment ref="C15" authorId="0">
      <text>
        <r>
          <rPr>
            <sz val="10"/>
            <rFont val="Arial"/>
            <family val="2"/>
          </rPr>
          <t>To Menu – The Menu describes what each page does</t>
        </r>
      </text>
    </comment>
    <comment ref="N8" authorId="1">
      <text>
        <r>
          <rPr>
            <sz val="9"/>
            <rFont val="Tahoma"/>
            <family val="2"/>
          </rPr>
          <t xml:space="preserve">Use this area for your own comments
</t>
        </r>
      </text>
    </comment>
  </commentList>
</comments>
</file>

<file path=xl/comments6.xml><?xml version="1.0" encoding="utf-8"?>
<comments xmlns="http://schemas.openxmlformats.org/spreadsheetml/2006/main">
  <authors>
    <author/>
    <author> </author>
  </authors>
  <commentList>
    <comment ref="G8" authorId="0">
      <text>
        <r>
          <rPr>
            <sz val="10"/>
            <rFont val="Arial"/>
            <family val="2"/>
          </rPr>
          <t>You can list each type of feed here if you like – or you can enter all feed on one line.</t>
        </r>
      </text>
    </comment>
    <comment ref="H8" authorId="0">
      <text>
        <r>
          <rPr>
            <sz val="10"/>
            <color indexed="8"/>
            <rFont val="Tahoma"/>
            <family val="2"/>
          </rPr>
          <t xml:space="preserve"> This is the value of the feed used.  Note if the feed was produced on-farm, use the current market value of the feed for your area.</t>
        </r>
      </text>
    </comment>
    <comment ref="I8" authorId="0">
      <text>
        <r>
          <rPr>
            <sz val="10"/>
            <color indexed="8"/>
            <rFont val="Tahoma"/>
            <family val="2"/>
          </rPr>
          <t>Amount used for the sheep enterprise.</t>
        </r>
      </text>
    </comment>
    <comment ref="C10" authorId="0">
      <text>
        <r>
          <rPr>
            <sz val="10"/>
            <rFont val="Arial"/>
            <family val="2"/>
          </rPr>
          <t>To Targets</t>
        </r>
      </text>
    </comment>
    <comment ref="C14" authorId="0">
      <text>
        <r>
          <rPr>
            <sz val="10"/>
            <rFont val="Arial"/>
            <family val="2"/>
          </rPr>
          <t>Back to Income</t>
        </r>
      </text>
    </comment>
    <comment ref="J15" authorId="0">
      <text>
        <r>
          <rPr>
            <sz val="10"/>
            <color indexed="8"/>
            <rFont val="Tahoma"/>
            <family val="2"/>
          </rPr>
          <t xml:space="preserve">This is the number of grazing acres (Equipment tab) times the rental rate (Farm Data tab).  
If the amount shown is not correct adjust either the number of acres or the rental rate.
</t>
        </r>
      </text>
    </comment>
    <comment ref="C18" authorId="0">
      <text>
        <r>
          <rPr>
            <sz val="10"/>
            <rFont val="Arial"/>
            <family val="2"/>
          </rPr>
          <t>To Menu – The Menu describes what each page does</t>
        </r>
      </text>
    </comment>
    <comment ref="J35" authorId="0">
      <text>
        <r>
          <rPr>
            <sz val="10"/>
            <color indexed="8"/>
            <rFont val="Tahoma"/>
            <family val="2"/>
          </rPr>
          <t xml:space="preserve">This number is calculated based on total hours worked at the average labour rate that you entered for management and farm labour.
</t>
        </r>
      </text>
    </comment>
    <comment ref="G39" authorId="0">
      <text>
        <r>
          <rPr>
            <sz val="10"/>
            <color indexed="8"/>
            <rFont val="Tahoma"/>
            <family val="2"/>
          </rPr>
          <t xml:space="preserve">If lambs purchased gave birth in the year of this Flock Snapshot enter them as "ewes".
</t>
        </r>
      </text>
    </comment>
    <comment ref="G25" authorId="1">
      <text>
        <r>
          <rPr>
            <sz val="10"/>
            <rFont val="Tahoma"/>
            <family val="2"/>
          </rPr>
          <t xml:space="preserve">Sheep enterprise buildings and infrastructure repair.
Note: Larger repairs should be entered under the assets tab "buildings &amp; infrastructure" instead so that they can be depriciated over time.
</t>
        </r>
      </text>
    </comment>
    <comment ref="G28" authorId="1">
      <text>
        <r>
          <rPr>
            <sz val="10"/>
            <rFont val="Tahoma"/>
            <family val="2"/>
          </rPr>
          <t xml:space="preserve">This is for line of credit and/or sheep enterprise specific interest costs
</t>
        </r>
      </text>
    </comment>
    <comment ref="G32" authorId="1">
      <text>
        <r>
          <rPr>
            <sz val="10"/>
            <rFont val="Tahoma"/>
            <family val="2"/>
          </rPr>
          <t xml:space="preserve">Amount the owner withdrew from the operation as wages.
</t>
        </r>
      </text>
    </comment>
    <comment ref="G33" authorId="1">
      <text>
        <r>
          <rPr>
            <sz val="10"/>
            <rFont val="Tahoma"/>
            <family val="2"/>
          </rPr>
          <t xml:space="preserve">This is how much you paid out for hired help (not contract work)
Note: Hired help time (person-hours) should be included in the sheep operation hours (Analysis tab)
</t>
        </r>
      </text>
    </comment>
    <comment ref="G34" authorId="1">
      <text>
        <r>
          <rPr>
            <sz val="10"/>
            <rFont val="Tahoma"/>
            <family val="2"/>
          </rPr>
          <t xml:space="preserve">i.e. Sheep shearing 
Note: Contract work (i.e. the shearer's time) should not be included in sheep operation hours in the Analysis tab. 
</t>
        </r>
      </text>
    </comment>
    <comment ref="G47" authorId="1">
      <text>
        <r>
          <rPr>
            <sz val="10"/>
            <rFont val="Tahoma"/>
            <family val="2"/>
          </rPr>
          <t xml:space="preserve">This is long-term interest for sheep enterprise items only.  Also - do not include land interest.
(Land is rented back to the sheep operation on the Flock Snapshot - so land ownership costs, taxes, etc. should not be included anywhere)
</t>
        </r>
      </text>
    </comment>
    <comment ref="G53" authorId="1">
      <text>
        <r>
          <rPr>
            <sz val="10"/>
            <rFont val="Tahoma"/>
            <family val="2"/>
          </rPr>
          <t xml:space="preserve">This category is mainly for seedstock breeders used to promote sales.
</t>
        </r>
      </text>
    </comment>
    <comment ref="G54" authorId="1">
      <text>
        <r>
          <rPr>
            <sz val="10"/>
            <rFont val="Tahoma"/>
            <family val="2"/>
          </rPr>
          <t xml:space="preserve">Office supplies, sheep checkoff, etc.
</t>
        </r>
      </text>
    </comment>
    <comment ref="G24" authorId="1">
      <text>
        <r>
          <rPr>
            <sz val="10"/>
            <rFont val="Tahoma"/>
            <family val="2"/>
          </rPr>
          <t xml:space="preserve">Note: Large tools should not be added to this page.  They should instead be added to the equipment page to be depreciated over time. 
</t>
        </r>
      </text>
    </comment>
    <comment ref="M8" authorId="1">
      <text>
        <r>
          <rPr>
            <sz val="9"/>
            <rFont val="Tahoma"/>
            <family val="2"/>
          </rPr>
          <t xml:space="preserve">Insert your comments here
For example, you may wish to track the total weight of your feed … etc. </t>
        </r>
      </text>
    </comment>
    <comment ref="G26" authorId="1">
      <text>
        <r>
          <rPr>
            <sz val="9"/>
            <rFont val="Tahoma"/>
            <family val="2"/>
          </rPr>
          <t xml:space="preserve">Sheep equipment &amp; infrastructure repair.
Note: Larger repairs should be entered under the assets tab "equipment" instead so that they can be depriciated over time.
</t>
        </r>
      </text>
    </comment>
    <comment ref="G27" authorId="1">
      <text>
        <r>
          <rPr>
            <sz val="9"/>
            <rFont val="Tahoma"/>
            <family val="2"/>
          </rPr>
          <t xml:space="preserve">This is for fuel and oil used for the sheep enterprise.
</t>
        </r>
      </text>
    </comment>
    <comment ref="G20" authorId="1">
      <text>
        <r>
          <rPr>
            <sz val="9"/>
            <rFont val="Tahoma"/>
            <family val="2"/>
          </rPr>
          <t>This is a general category for sheep enterprise purchases.</t>
        </r>
      </text>
    </comment>
    <comment ref="G19" authorId="1">
      <text>
        <r>
          <rPr>
            <sz val="9"/>
            <rFont val="Tahoma"/>
            <family val="2"/>
          </rPr>
          <t xml:space="preserve">Veterinarian costs, medical supplies, vaccines, etc.
</t>
        </r>
      </text>
    </comment>
    <comment ref="G46" authorId="1">
      <text>
        <r>
          <rPr>
            <sz val="9"/>
            <rFont val="Tahoma"/>
            <family val="2"/>
          </rPr>
          <t xml:space="preserve">Sheep enterprise related utilities and insurance. 
</t>
        </r>
      </text>
    </comment>
    <comment ref="G48" authorId="1">
      <text>
        <r>
          <rPr>
            <sz val="9"/>
            <rFont val="Tahoma"/>
            <family val="2"/>
          </rPr>
          <t xml:space="preserve">This field is calculated based on rental rates entered in the FarmData tab and the number of acres entered in the Equipment tab.
</t>
        </r>
      </text>
    </comment>
    <comment ref="G49" authorId="1">
      <text>
        <r>
          <rPr>
            <sz val="9"/>
            <rFont val="Tahoma"/>
            <family val="2"/>
          </rPr>
          <t xml:space="preserve">Depreciation is calculated based on the depreciation rates entered in the FarmData tab and the value of assets listed in the Assets tab.
</t>
        </r>
      </text>
    </comment>
    <comment ref="G55" authorId="1">
      <text>
        <r>
          <rPr>
            <sz val="9"/>
            <rFont val="Tahoma"/>
            <family val="2"/>
          </rPr>
          <t xml:space="preserve">This is a general field for items that do not fit elsewhere.  For example, you could put dog food in this category.
</t>
        </r>
      </text>
    </comment>
  </commentList>
</comments>
</file>

<file path=xl/comments7.xml><?xml version="1.0" encoding="utf-8"?>
<comments xmlns="http://schemas.openxmlformats.org/spreadsheetml/2006/main">
  <authors>
    <author/>
    <author> </author>
  </authors>
  <commentList>
    <comment ref="J9" authorId="0">
      <text>
        <r>
          <rPr>
            <sz val="10"/>
            <rFont val="Arial"/>
            <family val="2"/>
          </rPr>
          <t xml:space="preserve">"Targets" are where you would like to see your operation in the future.  For example, maybe your lambing percent was 150% ... but you would like it to be 180% ... your "target" would be 180%.
Enter the targets you would like to reach for your operation in all areas.
Note: If you enter 0 or leave a box blank the program will use the guideline value.
</t>
        </r>
      </text>
    </comment>
    <comment ref="K9" authorId="0">
      <text>
        <r>
          <rPr>
            <sz val="10"/>
            <rFont val="Arial"/>
            <family val="2"/>
          </rPr>
          <t xml:space="preserve">Benchmarks listed are rough "guidelines" based on industry benchmarks of top performing flocks, expert opinion, and mathamatical formulas.  Select the most appropriate set of benchmarks for your type of flock on the opening "Welcome" screen.  
</t>
        </r>
        <r>
          <rPr>
            <b/>
            <sz val="10"/>
            <rFont val="Arial"/>
            <family val="2"/>
          </rPr>
          <t>Differences between the "Targets" model and the "Benchmarks" model.</t>
        </r>
        <r>
          <rPr>
            <sz val="10"/>
            <rFont val="Arial"/>
            <family val="2"/>
          </rPr>
          <t xml:space="preserve">
The "Targets" model includes your farms "Value of Production" ... this is the increase or decrease in the value of your farm from the start of the year to the end of the year.  The "Benchmarks" model does not include VOP as this will offer a more realistic set of targets for your operation in the long-term. 
</t>
        </r>
      </text>
    </comment>
    <comment ref="C11" authorId="0">
      <text>
        <r>
          <rPr>
            <sz val="10"/>
            <rFont val="Arial"/>
            <family val="2"/>
          </rPr>
          <t>To Snapshot</t>
        </r>
      </text>
    </comment>
    <comment ref="C19" authorId="0">
      <text>
        <r>
          <rPr>
            <sz val="10"/>
            <rFont val="Arial"/>
            <family val="2"/>
          </rPr>
          <t>To Menu – The Menu describes what each page does</t>
        </r>
      </text>
    </comment>
    <comment ref="G10" authorId="1">
      <text>
        <r>
          <rPr>
            <sz val="10"/>
            <rFont val="Tahoma"/>
            <family val="2"/>
          </rPr>
          <t xml:space="preserve">This is number of lambs born (dead or alive) divided by the number of ewes that actually lambed (whether or not the lambs survived). </t>
        </r>
      </text>
    </comment>
    <comment ref="C9" authorId="0">
      <text>
        <r>
          <rPr>
            <sz val="10"/>
            <rFont val="Arial"/>
            <family val="2"/>
          </rPr>
          <t>To Snapshot</t>
        </r>
      </text>
    </comment>
    <comment ref="C12" authorId="0">
      <text>
        <r>
          <rPr>
            <sz val="10"/>
            <rFont val="Arial"/>
            <family val="2"/>
          </rPr>
          <t>Back to Expenses</t>
        </r>
      </text>
    </comment>
    <comment ref="G13" authorId="1">
      <text>
        <r>
          <rPr>
            <sz val="10"/>
            <rFont val="Tahoma"/>
            <family val="2"/>
          </rPr>
          <t xml:space="preserve">Number of ewes that died divided by the average number of ewes.
</t>
        </r>
      </text>
    </comment>
    <comment ref="G12" authorId="1">
      <text>
        <r>
          <rPr>
            <sz val="10"/>
            <rFont val="Tahoma"/>
            <family val="2"/>
          </rPr>
          <t>This is the rate at which you replace your ewes.  It does not include death rate or flock growth.</t>
        </r>
      </text>
    </comment>
    <comment ref="G11" authorId="1">
      <text>
        <r>
          <rPr>
            <sz val="10"/>
            <rFont val="Tahoma"/>
            <family val="2"/>
          </rPr>
          <t>Number of ewes that lambed divided by the number exposed.</t>
        </r>
      </text>
    </comment>
    <comment ref="G35" authorId="1">
      <text>
        <r>
          <rPr>
            <sz val="10"/>
            <rFont val="Tahoma"/>
            <family val="2"/>
          </rPr>
          <t>This is the total number of person hours invested in the sheep operation in the year of the Flock Snapshot.</t>
        </r>
      </text>
    </comment>
    <comment ref="G37" authorId="1">
      <text>
        <r>
          <rPr>
            <sz val="10"/>
            <rFont val="Tahoma"/>
            <family val="2"/>
          </rPr>
          <t>Other costs includes everything except feed, labour, and depreciation.
Note: Return on Investment is not counted as a cost.  Instead, the Flock Snapshot calculates ROI only after labour expectations have been met (see Snapshot tab).</t>
        </r>
      </text>
    </comment>
    <comment ref="G39" authorId="1">
      <text>
        <r>
          <rPr>
            <sz val="10"/>
            <rFont val="Tahoma"/>
            <family val="2"/>
          </rPr>
          <t>The sheep enterprise value of all tools and equipment used in the sheep operation.</t>
        </r>
      </text>
    </comment>
    <comment ref="G40" authorId="1">
      <text>
        <r>
          <rPr>
            <sz val="10"/>
            <rFont val="Tahoma"/>
            <family val="2"/>
          </rPr>
          <t>The sheep enterprise value of buildings and infrastructure used in the sheep operation.</t>
        </r>
      </text>
    </comment>
    <comment ref="G41" authorId="1">
      <text>
        <r>
          <rPr>
            <sz val="10"/>
            <rFont val="Tahoma"/>
            <family val="2"/>
          </rPr>
          <t>The sheep enterprise value of office and electronic equipment used in the sheep operation.</t>
        </r>
      </text>
    </comment>
    <comment ref="E2" authorId="1">
      <text>
        <r>
          <rPr>
            <sz val="10"/>
            <rFont val="Tahoma"/>
            <family val="2"/>
          </rPr>
          <t xml:space="preserve">On this page, you can set targets for your sheep operation.   
These targets are then used on the "Snapshot" and other reports to help you make managment changes where you need to.
Note: This worksheet also makes use of the Farm Targets you select to project the financial impact of meeting your targets (bottom of this sheet).  
** Projections are provided to help estimate the impact of the changes proposed.  The actual financial impact of meeting these targets will vary **
</t>
        </r>
      </text>
    </comment>
    <comment ref="G44" authorId="1">
      <text>
        <r>
          <rPr>
            <sz val="10"/>
            <rFont val="Tahoma"/>
            <family val="2"/>
          </rPr>
          <t xml:space="preserve">This number is the value of production divided by hours worked. 
Note: This field does not include Return on Investment as a cost.  Return on investment is only calculated once the operation earns enough to pay for labour costs.
</t>
        </r>
      </text>
    </comment>
    <comment ref="K20" authorId="1">
      <text>
        <r>
          <rPr>
            <sz val="9"/>
            <rFont val="Tahoma"/>
            <family val="2"/>
          </rPr>
          <t xml:space="preserve">Benchmarks listed are "guidelines" based on industry benchmarks of top performing flocks, expert opinion, and mathamatical formulas.  Select the most appropriate set of benchmarks for your type of flock on the opening "Welcome" screen. 
</t>
        </r>
        <r>
          <rPr>
            <b/>
            <sz val="9"/>
            <rFont val="Tahoma"/>
            <family val="2"/>
          </rPr>
          <t>Differences between the "Targets" model and the "Benchmarks" model.</t>
        </r>
        <r>
          <rPr>
            <sz val="9"/>
            <rFont val="Tahoma"/>
            <family val="2"/>
          </rPr>
          <t xml:space="preserve">
The "Targets" model includes your farms "Value of Production" ... this is the increase or decrease in the value of your farm from the start of the year to the end of the year.  The "Benchmarks" model does not include VOP as this will offer a more realistic set of targets for your operation in the long-term. 
</t>
        </r>
        <r>
          <rPr>
            <b/>
            <sz val="9"/>
            <rFont val="Tahoma"/>
            <family val="2"/>
          </rPr>
          <t xml:space="preserve">
Prices and Total Income</t>
        </r>
        <r>
          <rPr>
            <sz val="9"/>
            <rFont val="Tahoma"/>
            <family val="2"/>
          </rPr>
          <t xml:space="preserve">
Prices are guidlines based on 2011 market prices.  Total income in the Benchmark model is calculated assuming sales in all income categories.  The number of sales in each income category is estimated based on operation type.  For example, low input operations will have a higher number of feeder lamb sales and seedstock operations will have a higher number of breeding stock sales.</t>
        </r>
      </text>
    </comment>
    <comment ref="I20" authorId="1">
      <text>
        <r>
          <rPr>
            <sz val="9"/>
            <rFont val="Tahoma"/>
            <family val="2"/>
          </rPr>
          <t xml:space="preserve">This is the average return received from the "Income" screen. 
</t>
        </r>
      </text>
    </comment>
    <comment ref="H31" authorId="1">
      <text>
        <r>
          <rPr>
            <sz val="9"/>
            <rFont val="Tahoma"/>
            <family val="2"/>
          </rPr>
          <t xml:space="preserve">This is a rough approximation of your current cost to feed a lamb.  
Note: This value is not accurate when there are large differences between opening and closing inventories and/or when large numbers of lambs were purchased during the year. 
</t>
        </r>
      </text>
    </comment>
    <comment ref="H32" authorId="1">
      <text>
        <r>
          <rPr>
            <sz val="9"/>
            <rFont val="Tahoma"/>
            <family val="2"/>
          </rPr>
          <t xml:space="preserve">This is a rough approximation of your current cost to feed a ewe.  
Note: This value is not accurate when there are large differences between opening and closing inventories and/or when large numbers of ewes were purchased during the year.
</t>
        </r>
      </text>
    </comment>
    <comment ref="K31" authorId="1">
      <text>
        <r>
          <rPr>
            <sz val="9"/>
            <rFont val="Tahoma"/>
            <family val="2"/>
          </rPr>
          <t xml:space="preserve">These figures are guidelines only.  More accurate (optimum) projections for feed and pasture costs can be made using a ration balancing program such as SheepBytes.
Note: An "optimum" feed would be the lowest cost feed that meets the nutritional and intake requirements of animals for all stages of production. </t>
        </r>
      </text>
    </comment>
    <comment ref="J20" authorId="1">
      <text>
        <r>
          <rPr>
            <sz val="9"/>
            <rFont val="Tahoma"/>
            <family val="2"/>
          </rPr>
          <t xml:space="preserve">"Targets" are where you would like to see your operation in the future.  For example, maybe your Market lambs actual return was $145.00 ... but feel you can increase your returns to $155.00 by increasing market weight ... your "target" would be $155.00
Enter the targets you would like to reach for your operation in all areas.
Note: If you enter 0 or leave a box blank the program will use the guideline value.
</t>
        </r>
      </text>
    </comment>
  </commentList>
</comments>
</file>

<file path=xl/comments8.xml><?xml version="1.0" encoding="utf-8"?>
<comments xmlns="http://schemas.openxmlformats.org/spreadsheetml/2006/main">
  <authors>
    <author/>
    <author> </author>
  </authors>
  <commentList>
    <comment ref="V2" authorId="0">
      <text>
        <r>
          <rPr>
            <sz val="10"/>
            <color indexed="8"/>
            <rFont val="Tahoma"/>
            <family val="2"/>
          </rPr>
          <t xml:space="preserve">Amount divided by the average number of ewes in inventory.
</t>
        </r>
      </text>
    </comment>
    <comment ref="W2" authorId="0">
      <text>
        <r>
          <rPr>
            <sz val="10"/>
            <color indexed="8"/>
            <rFont val="Tahoma"/>
            <family val="2"/>
          </rPr>
          <t xml:space="preserve">Amount divided by the number of lambs marketed.
</t>
        </r>
      </text>
    </comment>
    <comment ref="X2" authorId="0">
      <text>
        <r>
          <rPr>
            <sz val="10"/>
            <color indexed="8"/>
            <rFont val="Tahoma"/>
            <family val="2"/>
          </rPr>
          <t xml:space="preserve">Amount divided by the number of lambs born less death loss.
</t>
        </r>
      </text>
    </comment>
    <comment ref="T3" authorId="0">
      <text>
        <r>
          <rPr>
            <sz val="10"/>
            <color indexed="8"/>
            <rFont val="Tahoma"/>
            <family val="2"/>
          </rPr>
          <t xml:space="preserve">Total sheep enterprise expenses.
</t>
        </r>
      </text>
    </comment>
    <comment ref="T4" authorId="0">
      <text>
        <r>
          <rPr>
            <sz val="10"/>
            <color indexed="8"/>
            <rFont val="Tahoma"/>
            <family val="2"/>
          </rPr>
          <t xml:space="preserve">Total sheep enterprise income.
</t>
        </r>
      </text>
    </comment>
    <comment ref="T5" authorId="0">
      <text>
        <r>
          <rPr>
            <sz val="10"/>
            <color indexed="8"/>
            <rFont val="Tahoma"/>
            <family val="2"/>
          </rPr>
          <t xml:space="preserve">Net margin takes into account income, expenses, depreciation, as well as the value of the operation from the start of the year to the end of the year.  For example if your sheep operation grew, the value of the breeding stock would be included in this calculation.  For this number to be positive, your operation would need to return over $15.00/hr.
</t>
        </r>
      </text>
    </comment>
    <comment ref="T6" authorId="0">
      <text>
        <r>
          <rPr>
            <sz val="10"/>
            <color indexed="8"/>
            <rFont val="Tahoma"/>
            <family val="2"/>
          </rPr>
          <t xml:space="preserve">This is the value your sheep enterprised returned to you.  It is your net margin (see above) with the value of your labour (at the labour rate specified … suggested at $15.00/hr) removed.  
</t>
        </r>
      </text>
    </comment>
    <comment ref="T7" authorId="0">
      <text>
        <r>
          <rPr>
            <sz val="10"/>
            <color indexed="8"/>
            <rFont val="Tahoma"/>
            <family val="2"/>
          </rPr>
          <t xml:space="preserve">This is the reported value of your sheep enterprise.
</t>
        </r>
      </text>
    </comment>
    <comment ref="E72" authorId="0">
      <text>
        <r>
          <rPr>
            <b/>
            <sz val="10"/>
            <color indexed="8"/>
            <rFont val="Tahoma"/>
            <family val="2"/>
          </rPr>
          <t>This is total operation gross income divided by the number of lambs marketed.</t>
        </r>
      </text>
    </comment>
    <comment ref="Q86" authorId="0">
      <text>
        <r>
          <rPr>
            <sz val="10"/>
            <rFont val="Arial"/>
            <family val="2"/>
          </rPr>
          <t>To Reports</t>
        </r>
      </text>
    </comment>
    <comment ref="Q90" authorId="0">
      <text>
        <r>
          <rPr>
            <sz val="10"/>
            <rFont val="Arial"/>
            <family val="2"/>
          </rPr>
          <t>Back to Targets</t>
        </r>
      </text>
    </comment>
    <comment ref="C95" authorId="0">
      <text>
        <r>
          <rPr>
            <sz val="10"/>
            <rFont val="Arial"/>
            <family val="2"/>
          </rPr>
          <t>This is all lambs sold – it includes lambs that were carried over from last year that were sold this year.</t>
        </r>
      </text>
    </comment>
    <comment ref="Q96" authorId="0">
      <text>
        <r>
          <rPr>
            <sz val="10"/>
            <rFont val="Arial"/>
            <family val="2"/>
          </rPr>
          <t>To Menu
The Menu describes what each page does</t>
        </r>
      </text>
    </comment>
    <comment ref="C97" authorId="0">
      <text>
        <r>
          <rPr>
            <sz val="10"/>
            <rFont val="Arial"/>
            <family val="2"/>
          </rPr>
          <t>This is lambs born less death loss.</t>
        </r>
      </text>
    </comment>
    <comment ref="C99" authorId="0">
      <text>
        <r>
          <rPr>
            <sz val="10"/>
            <rFont val="Arial"/>
            <family val="2"/>
          </rPr>
          <t>This is the number of acres used in the sheep operation for grazing and the building site.</t>
        </r>
      </text>
    </comment>
    <comment ref="C101" authorId="0">
      <text>
        <r>
          <rPr>
            <sz val="10"/>
            <rFont val="Arial"/>
            <family val="2"/>
          </rPr>
          <t>This is the growth in the number of ewes from January 1</t>
        </r>
        <r>
          <rPr>
            <vertAlign val="superscript"/>
            <sz val="10"/>
            <rFont val="Arial"/>
            <family val="2"/>
          </rPr>
          <t>st</t>
        </r>
        <r>
          <rPr>
            <sz val="10"/>
            <rFont val="Arial"/>
            <family val="2"/>
          </rPr>
          <t xml:space="preserve"> to December 31st. </t>
        </r>
      </text>
    </comment>
    <comment ref="L105" authorId="0">
      <text>
        <r>
          <rPr>
            <sz val="10"/>
            <rFont val="Arial"/>
            <family val="2"/>
          </rPr>
          <t>Targets in this area are from the targets tab.  If targets are left blank on the targets tab, the program will use the benchmarks instead.
Note: This model includes the farms Value of Production.  For this reason, the "targets" model will show different returns than the benchmark model with assumes no changes in Value of Production from the start of the year to the end of the year.</t>
        </r>
      </text>
    </comment>
    <comment ref="N105" authorId="0">
      <text>
        <r>
          <rPr>
            <sz val="10"/>
            <rFont val="Arial"/>
            <family val="2"/>
          </rPr>
          <t>The Alerts below are based on how closely your farm met the targets.  Red indicates a problem, brown caution, light green means you are on target, and dark green is exceeding targets.</t>
        </r>
      </text>
    </comment>
    <comment ref="C106" authorId="0">
      <text>
        <r>
          <rPr>
            <sz val="10"/>
            <rFont val="Arial"/>
            <family val="2"/>
          </rPr>
          <t>This is lambs born divided by ewes exposed</t>
        </r>
      </text>
    </comment>
    <comment ref="C112" authorId="0">
      <text>
        <r>
          <rPr>
            <sz val="10"/>
            <rFont val="Arial"/>
            <family val="2"/>
          </rPr>
          <t xml:space="preserve">This number is an estimate based on lambs born (actual) less estimated lamb mortality in the birth group divided by the number of ewes exposed. 
Lamb mortality in the birth group is total deaths divided by total lambs (births, purchases, + carry-over lambs) times the number of lambs born. 
</t>
        </r>
      </text>
    </comment>
    <comment ref="L112" authorId="0">
      <text>
        <r>
          <rPr>
            <sz val="10"/>
            <rFont val="Arial"/>
            <family val="2"/>
          </rPr>
          <t xml:space="preserve">This is target lambs born less death loss rate divided by the number of ewes exposed. 
</t>
        </r>
      </text>
    </comment>
    <comment ref="C127" authorId="0">
      <text>
        <r>
          <rPr>
            <sz val="10"/>
            <rFont val="Arial"/>
            <family val="2"/>
          </rPr>
          <t xml:space="preserve">Cost of Production is costs divided by the number of lambs sold or retained. </t>
        </r>
      </text>
    </comment>
    <comment ref="E128" authorId="0">
      <text>
        <r>
          <rPr>
            <sz val="10"/>
            <color indexed="8"/>
            <rFont val="Tahoma"/>
            <family val="2"/>
          </rPr>
          <t xml:space="preserve">Total farm feed costs divided by the number of lambs
</t>
        </r>
      </text>
    </comment>
    <comment ref="E131" authorId="0">
      <text>
        <r>
          <rPr>
            <sz val="10"/>
            <color indexed="8"/>
            <rFont val="Tahoma"/>
            <family val="2"/>
          </rPr>
          <t xml:space="preserve">This is the number of hours you worked divided by the number of lambs times your average farm labour rate
</t>
        </r>
      </text>
    </comment>
    <comment ref="C109" authorId="1">
      <text>
        <r>
          <rPr>
            <sz val="10"/>
            <rFont val="Tahoma"/>
            <family val="2"/>
          </rPr>
          <t>Number of lambs that die divided by the number of lambs born plus lambs purchased plus lambs at the start of the year.</t>
        </r>
      </text>
    </comment>
    <comment ref="C104" authorId="1">
      <text>
        <r>
          <rPr>
            <sz val="10"/>
            <rFont val="Tahoma"/>
            <family val="2"/>
          </rPr>
          <t xml:space="preserve">Note: The Alerts will vary a little based on whether you have selected "lambs sold" vs "marketable lambs" for the output.  This is due to a limitation in using Excel to set the sensitivity of the rating system.
</t>
        </r>
      </text>
    </comment>
    <comment ref="D93" authorId="1">
      <text>
        <r>
          <rPr>
            <sz val="9"/>
            <rFont val="Tahoma"/>
            <family val="2"/>
          </rPr>
          <t xml:space="preserve">This is the average ewe inventory
</t>
        </r>
      </text>
    </comment>
    <comment ref="E134" authorId="1">
      <text>
        <r>
          <rPr>
            <sz val="9"/>
            <rFont val="Tahoma"/>
            <family val="2"/>
          </rPr>
          <t xml:space="preserve">This is "all other costs" divided by the number of lambs
</t>
        </r>
      </text>
    </comment>
    <comment ref="E137" authorId="1">
      <text>
        <r>
          <rPr>
            <sz val="9"/>
            <rFont val="Tahoma"/>
            <family val="2"/>
          </rPr>
          <t xml:space="preserve">This is total Cost of Production including feed, labour, plus all other costs including depreciation (but not return on investment) divided by the number of lambs.
</t>
        </r>
      </text>
    </comment>
    <comment ref="E145" authorId="1">
      <text>
        <r>
          <rPr>
            <sz val="9"/>
            <rFont val="Tahoma"/>
            <family val="2"/>
          </rPr>
          <t xml:space="preserve">
Return on Investment - this is the return to the operation (profit) expressed as a percentage. 
Formula is: (Profit (i.e. net margin) + long term interest) / Investment (includes the value of your animals, equipment, barns and infrastructure and office equipment)
Note: This figure will be $0.00 until the operation is able to pay for it's labour costs and return a "profit"</t>
        </r>
      </text>
    </comment>
    <comment ref="E142" authorId="1">
      <text>
        <r>
          <rPr>
            <sz val="9"/>
            <rFont val="Tahoma"/>
            <family val="2"/>
          </rPr>
          <t>This is Income of Production minus Cost of Production.  The return will only be greater than $0.00 once IOP is higher than COP.  Please see IOP and COP for what is included in these figures. 
NOTE: ROI is not included in this figure … rather the ROI rate shown below is just another way of expressing the "profit" returns to the operation.</t>
        </r>
      </text>
    </comment>
    <comment ref="E148" authorId="1">
      <text>
        <r>
          <rPr>
            <sz val="9"/>
            <rFont val="Tahoma"/>
            <family val="2"/>
          </rPr>
          <t xml:space="preserve">This is value of production divided by the number of hours worked.  
Return on investment is not included in this figure - rather return on investment (above) is reported only if labour expectations are met (FarmData tab). 
</t>
        </r>
      </text>
    </comment>
    <comment ref="L142" authorId="1">
      <text>
        <r>
          <rPr>
            <sz val="9"/>
            <rFont val="Tahoma"/>
            <family val="2"/>
          </rPr>
          <t>Note: the minimum target value preset for this field is $5.00  If the Target model returns more than this amount the Target model amount will be shown.
Colour coding is based on the minimum target of $5.00/lamb</t>
        </r>
      </text>
    </comment>
    <comment ref="E117" authorId="1">
      <text>
        <r>
          <rPr>
            <sz val="9"/>
            <rFont val="Tahoma"/>
            <family val="2"/>
          </rPr>
          <t xml:space="preserve">This is total income divided by the number of lambs
</t>
        </r>
      </text>
    </comment>
    <comment ref="E120" authorId="1">
      <text>
        <r>
          <rPr>
            <sz val="9"/>
            <rFont val="Tahoma"/>
            <family val="2"/>
          </rPr>
          <t xml:space="preserve">This is the average price received for lambs that were sold.
</t>
        </r>
      </text>
    </comment>
    <comment ref="E123" authorId="1">
      <text>
        <r>
          <rPr>
            <sz val="9"/>
            <rFont val="Tahoma"/>
            <family val="2"/>
          </rPr>
          <t xml:space="preserve">Income of Production is total income plus the difference between the value of opening and closing animal inventory divided by the number of lambs. 
</t>
        </r>
      </text>
    </comment>
    <comment ref="L145" authorId="1">
      <text>
        <r>
          <rPr>
            <sz val="9"/>
            <rFont val="Tahoma"/>
            <family val="2"/>
          </rPr>
          <t>The minimum target value for this field is 2%  If the Target model returns more than this amount, the Target model amount will be shown.
Colour coding is based on the minimum target of 2%.</t>
        </r>
      </text>
    </comment>
    <comment ref="L148" authorId="1">
      <text>
        <r>
          <rPr>
            <sz val="9"/>
            <rFont val="Tahoma"/>
            <family val="2"/>
          </rPr>
          <t xml:space="preserve">This field reports the higher of:
1. The average labour rate entered in the FarmData tab; or 
2. The calculated labour returns from data entered under "Your Farm Targets" in the "Targets" tab
Note: The colour coding is based on the average labour rate entered in the FarmData tab 
</t>
        </r>
      </text>
    </comment>
    <comment ref="E151" authorId="1">
      <text>
        <r>
          <rPr>
            <sz val="9"/>
            <rFont val="Tahoma"/>
            <family val="2"/>
          </rPr>
          <t xml:space="preserve">This is net value of production.  
This value is income minus expenses plus any changes to the year to year value of the operation.
</t>
        </r>
      </text>
    </comment>
    <comment ref="L151" authorId="1">
      <text>
        <r>
          <rPr>
            <sz val="9"/>
            <rFont val="Tahoma"/>
            <family val="2"/>
          </rPr>
          <t xml:space="preserve">This is the target net value of production.  This is the amount the operation is predicted to net if targets are met.
Note: Labour returns per hour can increase while this value decreases if the number of hours worked goes down.  Remember it Labour is a return per hour worked  and this figure is a net return value.
</t>
        </r>
      </text>
    </comment>
  </commentList>
</comments>
</file>

<file path=xl/comments9.xml><?xml version="1.0" encoding="utf-8"?>
<comments xmlns="http://schemas.openxmlformats.org/spreadsheetml/2006/main">
  <authors>
    <author/>
    <author> Tony Stolz</author>
  </authors>
  <commentList>
    <comment ref="M9" authorId="0">
      <text>
        <r>
          <rPr>
            <sz val="10"/>
            <rFont val="Arial"/>
            <family val="2"/>
          </rPr>
          <t>To Calculators</t>
        </r>
      </text>
    </comment>
    <comment ref="M13" authorId="0">
      <text>
        <r>
          <rPr>
            <sz val="10"/>
            <rFont val="Arial"/>
            <family val="2"/>
          </rPr>
          <t>Back to Flock Snapshot</t>
        </r>
      </text>
    </comment>
    <comment ref="M17" authorId="0">
      <text>
        <r>
          <rPr>
            <sz val="10"/>
            <rFont val="Arial"/>
            <family val="2"/>
          </rPr>
          <t>To Menu – The Menu describes what each page does</t>
        </r>
      </text>
    </comment>
    <comment ref="D19" authorId="0">
      <text>
        <r>
          <rPr>
            <sz val="10"/>
            <color indexed="8"/>
            <rFont val="Tahoma"/>
            <family val="2"/>
          </rPr>
          <t>This is the number of animals on your farm at the start of the year.</t>
        </r>
      </text>
    </comment>
    <comment ref="J19" authorId="0">
      <text>
        <r>
          <rPr>
            <sz val="10"/>
            <color indexed="8"/>
            <rFont val="Tahoma"/>
            <family val="2"/>
          </rPr>
          <t>This is the number of animals on your farm at the end of the year.</t>
        </r>
      </text>
    </comment>
    <comment ref="H28" authorId="0">
      <text>
        <r>
          <rPr>
            <sz val="10"/>
            <rFont val="Arial"/>
            <family val="2"/>
          </rPr>
          <t>Targets are from the targets tab.  If targets in the targets tab are left blank or set to 0, the program will use the guidelines in the targets tab.</t>
        </r>
      </text>
    </comment>
    <comment ref="C32" authorId="0">
      <text>
        <r>
          <rPr>
            <sz val="10"/>
            <rFont val="Arial"/>
            <family val="2"/>
          </rPr>
          <t>Replacement rate takes into account cull rate and death rate</t>
        </r>
      </text>
    </comment>
    <comment ref="D32" authorId="0">
      <text>
        <r>
          <rPr>
            <sz val="10"/>
            <rFont val="Arial"/>
            <family val="2"/>
          </rPr>
          <t>This number is calculated based on the number culled and the number that died.  It does not include extra ewes purchased or retained to grow the flock.</t>
        </r>
      </text>
    </comment>
    <comment ref="H32" authorId="0">
      <text>
        <r>
          <rPr>
            <sz val="10"/>
            <rFont val="Arial"/>
            <family val="2"/>
          </rPr>
          <t>This target is calculated based on target cull rate and death rate.</t>
        </r>
      </text>
    </comment>
    <comment ref="C35" authorId="0">
      <text>
        <r>
          <rPr>
            <sz val="10"/>
            <rFont val="Arial"/>
            <family val="2"/>
          </rPr>
          <t xml:space="preserve">This area only calculates new crop lambs.
Carry over lambs from the opening inventory are not included in these calculations.
</t>
        </r>
      </text>
    </comment>
    <comment ref="C37" authorId="0">
      <text>
        <r>
          <rPr>
            <sz val="10"/>
            <rFont val="Arial"/>
            <family val="2"/>
          </rPr>
          <t>This is new crop lambs that were marketed.  Lambs carried over from the past year are not included in this figure.</t>
        </r>
      </text>
    </comment>
    <comment ref="D37" authorId="0">
      <text>
        <r>
          <rPr>
            <sz val="10"/>
            <rFont val="Arial"/>
            <family val="2"/>
          </rPr>
          <t>This is the projected number of “new crop” lambs that were marketed. It does not include lambs carried over from the past year.</t>
        </r>
      </text>
    </comment>
    <comment ref="H37" authorId="0">
      <text>
        <r>
          <rPr>
            <sz val="10"/>
            <rFont val="Arial"/>
            <family val="2"/>
          </rPr>
          <t>This number is calculated based on lambing percent target, conception rate, death rate target, and sales data.</t>
        </r>
      </text>
    </comment>
    <comment ref="H38" authorId="0">
      <text>
        <r>
          <rPr>
            <sz val="10"/>
            <rFont val="Arial"/>
            <family val="2"/>
          </rPr>
          <t>This number is calculated based on lambing percent target and death rate targets entered.</t>
        </r>
      </text>
    </comment>
    <comment ref="C48" authorId="0">
      <text>
        <r>
          <rPr>
            <sz val="10"/>
            <rFont val="Arial"/>
            <family val="2"/>
          </rPr>
          <t>Total income</t>
        </r>
      </text>
    </comment>
    <comment ref="C49" authorId="0">
      <text>
        <r>
          <rPr>
            <sz val="10"/>
            <rFont val="Arial"/>
            <family val="2"/>
          </rPr>
          <t>Total expenses including the value of your labour.</t>
        </r>
      </text>
    </comment>
    <comment ref="C50" authorId="0">
      <text>
        <r>
          <rPr>
            <sz val="10"/>
            <rFont val="Arial"/>
            <family val="2"/>
          </rPr>
          <t>Includes value of production (change in the value of assets) as well as labour.</t>
        </r>
      </text>
    </comment>
    <comment ref="C51" authorId="0">
      <text>
        <r>
          <rPr>
            <sz val="10"/>
            <rFont val="Arial"/>
            <family val="2"/>
          </rPr>
          <t xml:space="preserve">This is how much your sheep enterprise earned without counting labour as a cost.
</t>
        </r>
      </text>
    </comment>
    <comment ref="C52" authorId="0">
      <text>
        <r>
          <rPr>
            <sz val="10"/>
            <rFont val="Arial"/>
            <family val="2"/>
          </rPr>
          <t>Total investment in the sheep operation including animals, equipment, buildings, etc.</t>
        </r>
      </text>
    </comment>
    <comment ref="C38" authorId="1">
      <text>
        <r>
          <rPr>
            <sz val="9"/>
            <rFont val="Tahoma"/>
            <family val="2"/>
          </rPr>
          <t>This is lambs born less death loss</t>
        </r>
        <r>
          <rPr>
            <sz val="9"/>
            <rFont val="Tahoma"/>
            <family val="2"/>
          </rPr>
          <t xml:space="preserve">
</t>
        </r>
      </text>
    </comment>
  </commentList>
</comments>
</file>

<file path=xl/sharedStrings.xml><?xml version="1.0" encoding="utf-8"?>
<sst xmlns="http://schemas.openxmlformats.org/spreadsheetml/2006/main" count="1216" uniqueCount="737">
  <si>
    <t>Commercial low-input</t>
  </si>
  <si>
    <t>Commercial medium-input</t>
  </si>
  <si>
    <t xml:space="preserve">   Next  </t>
  </si>
  <si>
    <t>Commercial high-input</t>
  </si>
  <si>
    <t>Seedstock low-input</t>
  </si>
  <si>
    <t>Seedstock medium-input</t>
  </si>
  <si>
    <t>Seedstock high-input</t>
  </si>
  <si>
    <t>LTP Flock Snapshot</t>
  </si>
  <si>
    <t xml:space="preserve"> </t>
  </si>
  <si>
    <t>Owner Name(s):</t>
  </si>
  <si>
    <t>Lambs Sold</t>
  </si>
  <si>
    <t>Marketable Lambs</t>
  </si>
  <si>
    <t>Business Name:</t>
  </si>
  <si>
    <t>Operation Type:</t>
  </si>
  <si>
    <t xml:space="preserve">Output Format: </t>
  </si>
  <si>
    <r>
      <t>Instructions</t>
    </r>
    <r>
      <rPr>
        <sz val="10"/>
        <rFont val="Arial"/>
        <family val="2"/>
      </rPr>
      <t>: Fill in the blue text boxes with sheep enterprise information.  Run your mouse over any text boxes with little red dots for detailed instructions.  Text boxes will change from blue to brown as you fill them in. To clear text-boxes use backspace (Open Office) or delete (Excel) ... or just over-write the text-boxes with new information.</t>
    </r>
  </si>
  <si>
    <t>Menu</t>
  </si>
  <si>
    <t xml:space="preserve">  Data Entry Tabs</t>
  </si>
  <si>
    <t xml:space="preserve">·     </t>
  </si>
  <si>
    <r>
      <t>Welcome</t>
    </r>
    <r>
      <rPr>
        <sz val="12"/>
        <rFont val="Calibri"/>
        <family val="2"/>
      </rPr>
      <t xml:space="preserve"> - On this screen you enter your name, the name of your farm, the type of operation, and if you want the Flock Snapshot to calculate based on lambs marketed (recommended) or “marketable lambs”.</t>
    </r>
  </si>
  <si>
    <t xml:space="preserve">   Back   </t>
  </si>
  <si>
    <r>
      <t>Farm Data</t>
    </r>
    <r>
      <rPr>
        <sz val="12"/>
        <rFont val="Calibri"/>
        <family val="2"/>
      </rPr>
      <t xml:space="preserve"> – Enter information about your farm's animals, labour, and the going rates in your area for things like land rent for grazing. </t>
    </r>
  </si>
  <si>
    <t>Equipment</t>
  </si>
  <si>
    <r>
      <t>Equipment</t>
    </r>
    <r>
      <rPr>
        <sz val="12"/>
        <rFont val="Calibri"/>
        <family val="2"/>
      </rPr>
      <t xml:space="preserve"> – List the equipment, tools, buildings, and other items that make up your sheep enterprise.</t>
    </r>
  </si>
  <si>
    <t>Income</t>
  </si>
  <si>
    <r>
      <t>Income</t>
    </r>
    <r>
      <rPr>
        <sz val="12"/>
        <rFont val="Calibri"/>
        <family val="2"/>
      </rPr>
      <t xml:space="preserve"> – Sheep enterprise income for the year of this Flock Snapshot.</t>
    </r>
  </si>
  <si>
    <t>Expenses</t>
  </si>
  <si>
    <r>
      <t>Expenses</t>
    </r>
    <r>
      <rPr>
        <sz val="12"/>
        <rFont val="Calibri"/>
        <family val="2"/>
      </rPr>
      <t xml:space="preserve"> – Sheep enterprise expenses for the year of this Flock Snapshot. </t>
    </r>
  </si>
  <si>
    <t>Targets</t>
  </si>
  <si>
    <r>
      <t>Targets</t>
    </r>
    <r>
      <rPr>
        <sz val="12"/>
        <rFont val="Calibri"/>
        <family val="2"/>
      </rPr>
      <t xml:space="preserve"> – You need to choose targets for your flock's performance as well as your sheep enterprise's  financial performance.  Guidelines for your flock type are included that, if met, estimate reasonable returns. </t>
    </r>
  </si>
  <si>
    <t xml:space="preserve">   Reports</t>
  </si>
  <si>
    <t xml:space="preserve">  Snapshot  </t>
  </si>
  <si>
    <r>
      <t>Snapshot</t>
    </r>
    <r>
      <rPr>
        <sz val="12"/>
        <rFont val="Calibri"/>
        <family val="2"/>
      </rPr>
      <t xml:space="preserve"> - The "Flock Snapshot" gives you a flock and financial performance summary of your sheep enterprise.  The Flock Snapshot can be used to compare your farm's year to year performance as well as comparing against other farms. </t>
    </r>
  </si>
  <si>
    <t xml:space="preserve">  Reports  </t>
  </si>
  <si>
    <r>
      <t>Reports</t>
    </r>
    <r>
      <rPr>
        <sz val="12"/>
        <rFont val="Calibri"/>
        <family val="2"/>
      </rPr>
      <t xml:space="preserve"> - The reports area of the Flock Snapshot creates detailed reports on flock and financial performance. </t>
    </r>
  </si>
  <si>
    <t xml:space="preserve">   Precision Flock Management</t>
  </si>
  <si>
    <t xml:space="preserve">  Calculators  </t>
  </si>
  <si>
    <r>
      <t>Calculators</t>
    </r>
    <r>
      <rPr>
        <sz val="12"/>
        <rFont val="Calibri"/>
        <family val="2"/>
      </rPr>
      <t xml:space="preserve"> – (Feed Calculator, Marketing Calculator, Labour Calculator)  These calculators help you to figure out your costs.  The feed calculator for example projects what your feed costs “should be” based on a simple ration balancing program. </t>
    </r>
  </si>
  <si>
    <t xml:space="preserve">  Diagnosis  </t>
  </si>
  <si>
    <t xml:space="preserve">  Actions  </t>
  </si>
  <si>
    <t xml:space="preserve">   General Information</t>
  </si>
  <si>
    <t xml:space="preserve">  Background  </t>
  </si>
  <si>
    <r>
      <t>Background</t>
    </r>
    <r>
      <rPr>
        <sz val="10"/>
        <rFont val="Arial"/>
        <family val="2"/>
      </rPr>
      <t xml:space="preserve"> - The Background outlines why the Flock Snapshot was made and how it was designed to be used.</t>
    </r>
  </si>
  <si>
    <t xml:space="preserve">  Old Snapshot  </t>
  </si>
  <si>
    <r>
      <t>Old Snapshot</t>
    </r>
    <r>
      <rPr>
        <sz val="10"/>
        <rFont val="Arial"/>
        <family val="2"/>
      </rPr>
      <t xml:space="preserve"> – If you used previous versions of the Flock Snapshot you may want to use this report to compare past years.</t>
    </r>
  </si>
  <si>
    <t>Farm Data</t>
  </si>
  <si>
    <t>Closing Ewes</t>
  </si>
  <si>
    <t>Closing Rams</t>
  </si>
  <si>
    <t>Closing Lambs</t>
  </si>
  <si>
    <t>Closing Guard</t>
  </si>
  <si>
    <t>Closing Other</t>
  </si>
  <si>
    <t>Closing Animals</t>
  </si>
  <si>
    <t xml:space="preserve">Animals </t>
  </si>
  <si>
    <t>Ewes</t>
  </si>
  <si>
    <t>Number of ewes at the start of the year</t>
  </si>
  <si>
    <t>Ewes that died</t>
  </si>
  <si>
    <t>Average value of ewes</t>
  </si>
  <si>
    <t>Number of ewes that should have lambed</t>
  </si>
  <si>
    <t>Total Closing Animals</t>
  </si>
  <si>
    <t>Number of ewes that actually lambed</t>
  </si>
  <si>
    <t>Size of mature ewes (lbs)</t>
  </si>
  <si>
    <t>Rams</t>
  </si>
  <si>
    <t>Number of rams at the start of the year</t>
  </si>
  <si>
    <t>Opening ewes</t>
  </si>
  <si>
    <t>Opening Rams</t>
  </si>
  <si>
    <t>Opening Lambs</t>
  </si>
  <si>
    <t>Opening Guard</t>
  </si>
  <si>
    <t>Opening Other</t>
  </si>
  <si>
    <t>Opening Animals</t>
  </si>
  <si>
    <t>Rams that died</t>
  </si>
  <si>
    <t>Average value of rams</t>
  </si>
  <si>
    <t xml:space="preserve">   Menu   </t>
  </si>
  <si>
    <t>Lambs</t>
  </si>
  <si>
    <t>Number of lambs at the start of the year</t>
  </si>
  <si>
    <t>Number of lambs born</t>
  </si>
  <si>
    <t>Ewe lambs transferred to breeding flock</t>
  </si>
  <si>
    <t>Ram lambs transferred to breeding flock</t>
  </si>
  <si>
    <t xml:space="preserve">Lambs that died </t>
  </si>
  <si>
    <t>Average value of lambs</t>
  </si>
  <si>
    <t xml:space="preserve">Guardians </t>
  </si>
  <si>
    <t xml:space="preserve">Number of guardian dogs </t>
  </si>
  <si>
    <t>Average value of dogs</t>
  </si>
  <si>
    <t>Number of "other" guardians</t>
  </si>
  <si>
    <t>Average value of "other" guardians</t>
  </si>
  <si>
    <t>NA</t>
  </si>
  <si>
    <t xml:space="preserve">   Calculators  </t>
  </si>
  <si>
    <t>Labour</t>
  </si>
  <si>
    <t>Number of hours</t>
  </si>
  <si>
    <t xml:space="preserve">Total hours spent doing general farm labour </t>
  </si>
  <si>
    <t>Total hours spent managing the operation</t>
  </si>
  <si>
    <t>Labour rate</t>
  </si>
  <si>
    <r>
      <t xml:space="preserve">Value of general </t>
    </r>
    <r>
      <rPr>
        <b/>
        <sz val="10"/>
        <rFont val="Arial"/>
        <family val="2"/>
      </rPr>
      <t>farm labour</t>
    </r>
    <r>
      <rPr>
        <sz val="10"/>
        <rFont val="Arial"/>
        <family val="2"/>
      </rPr>
      <t xml:space="preserve"> per hour</t>
    </r>
  </si>
  <si>
    <r>
      <t xml:space="preserve">Value of </t>
    </r>
    <r>
      <rPr>
        <b/>
        <sz val="10"/>
        <rFont val="Arial"/>
        <family val="2"/>
      </rPr>
      <t>management labour</t>
    </r>
    <r>
      <rPr>
        <sz val="10"/>
        <rFont val="Arial"/>
        <family val="2"/>
      </rPr>
      <t xml:space="preserve"> per hour</t>
    </r>
  </si>
  <si>
    <t>Other data</t>
  </si>
  <si>
    <t>Other rates</t>
  </si>
  <si>
    <t>Land rental rate (grazing/acre)</t>
  </si>
  <si>
    <t>Land rental rate (building site/other) per acre</t>
  </si>
  <si>
    <t>Depreciation rate - Farm Equipment (8% base)</t>
  </si>
  <si>
    <t>Depreciation rate - Buildings &amp; Infrastructure (3% base)</t>
  </si>
  <si>
    <t>Depreciation rate - Office &amp; Electronic (30% base)</t>
  </si>
  <si>
    <r>
      <t>Instructions:</t>
    </r>
    <r>
      <rPr>
        <sz val="11"/>
        <rFont val="Arial"/>
        <family val="2"/>
      </rPr>
      <t xml:space="preserve"> </t>
    </r>
    <r>
      <rPr>
        <sz val="10"/>
        <color indexed="8"/>
        <rFont val="Arial"/>
        <family val="2"/>
      </rPr>
      <t>Fill in the blue text boxes.  Run your mouse over any text boxes with little red dots for detailed instructions.  Text boxes will change from blue to brown as you fill them in. To clear text-boxes use backspace (Open Office) or delete (Excel) ... or just over-write the text-boxes with new information.</t>
    </r>
  </si>
  <si>
    <t>Equipment &amp; Infrastructure</t>
  </si>
  <si>
    <t>Current Value</t>
  </si>
  <si>
    <t xml:space="preserve">Equipment </t>
  </si>
  <si>
    <t xml:space="preserve">Description </t>
  </si>
  <si>
    <t>Market Value</t>
  </si>
  <si>
    <t>Percent Sheep Use</t>
  </si>
  <si>
    <t>Total Equipment</t>
  </si>
  <si>
    <t>Buildings &amp; Infrastructure</t>
  </si>
  <si>
    <t>Buildings</t>
  </si>
  <si>
    <t>Total Buildings</t>
  </si>
  <si>
    <t>Office &amp; Electronic</t>
  </si>
  <si>
    <t>Office</t>
  </si>
  <si>
    <t>Total Office &amp; Electronic</t>
  </si>
  <si>
    <t>Land</t>
  </si>
  <si>
    <t>Number of Acres</t>
  </si>
  <si>
    <t>Sheep Acres</t>
  </si>
  <si>
    <t>Grazing acres</t>
  </si>
  <si>
    <t>Building site area</t>
  </si>
  <si>
    <t>Sheep Enterprise Income</t>
  </si>
  <si>
    <t>Number Sold</t>
  </si>
  <si>
    <t>Total Amount</t>
  </si>
  <si>
    <t>Amount received/head</t>
  </si>
  <si>
    <t>Total Lbs Production</t>
  </si>
  <si>
    <t>Price/lb</t>
  </si>
  <si>
    <t>Market lamb sales</t>
  </si>
  <si>
    <t>Feeder lamb sales</t>
  </si>
  <si>
    <t>Direct to consumer lamb sales</t>
  </si>
  <si>
    <t>Replacement ram-lamb sales</t>
  </si>
  <si>
    <t>Replacement ewe-lamb sales</t>
  </si>
  <si>
    <t>Breeding ewe sales</t>
  </si>
  <si>
    <t>Breeding ram sales</t>
  </si>
  <si>
    <t>Cull ewe sales</t>
  </si>
  <si>
    <t>Cull ram sales</t>
  </si>
  <si>
    <t>Wool sales</t>
  </si>
  <si>
    <t>Other sheep revenue</t>
  </si>
  <si>
    <t>Total Income</t>
  </si>
  <si>
    <r>
      <t xml:space="preserve">Instructions: </t>
    </r>
    <r>
      <rPr>
        <sz val="10"/>
        <color indexed="8"/>
        <rFont val="Arial"/>
        <family val="2"/>
      </rPr>
      <t>Fill in the blue text boxes.  Run your mouse over any text boxes with little red dots for detailed instructions.  Text boxes will change from blue to brown as you fill them in. To clear text-boxes use backspace (Open Office) or delete (Excel) ... or just over-write the text-boxes with new information.</t>
    </r>
  </si>
  <si>
    <t xml:space="preserve">Expenses </t>
  </si>
  <si>
    <t xml:space="preserve">Variable Expenses </t>
  </si>
  <si>
    <t>Feed</t>
  </si>
  <si>
    <t>Description</t>
  </si>
  <si>
    <t>Percent Sheep</t>
  </si>
  <si>
    <t>Sheep Value</t>
  </si>
  <si>
    <t xml:space="preserve">     Next     </t>
  </si>
  <si>
    <t xml:space="preserve">     Back     </t>
  </si>
  <si>
    <t>Grazing</t>
  </si>
  <si>
    <t>Total Feed Cost</t>
  </si>
  <si>
    <t xml:space="preserve">Sheep Expenses </t>
  </si>
  <si>
    <t>Amount</t>
  </si>
  <si>
    <t>Veterinary / health</t>
  </si>
  <si>
    <t>Other sheep supplies</t>
  </si>
  <si>
    <t>Total</t>
  </si>
  <si>
    <t>Sheep "Farm" Costs</t>
  </si>
  <si>
    <t>Small tools</t>
  </si>
  <si>
    <t>Equipment repair</t>
  </si>
  <si>
    <t>Fuel &amp; oil</t>
  </si>
  <si>
    <t>Short-term Interest</t>
  </si>
  <si>
    <t>Owners drawings</t>
  </si>
  <si>
    <t>Hired</t>
  </si>
  <si>
    <t>Contract</t>
  </si>
  <si>
    <t>Unpaid labour</t>
  </si>
  <si>
    <t>Animal Purchases</t>
  </si>
  <si>
    <t>Number</t>
  </si>
  <si>
    <t xml:space="preserve">Total amount </t>
  </si>
  <si>
    <t>Amount each</t>
  </si>
  <si>
    <t>Other</t>
  </si>
  <si>
    <t xml:space="preserve">Fixed Expenses </t>
  </si>
  <si>
    <t>Overhead Costs</t>
  </si>
  <si>
    <t>Utilities &amp; Insurance</t>
  </si>
  <si>
    <t>Long-term Interest</t>
  </si>
  <si>
    <t>Building site cost</t>
  </si>
  <si>
    <t xml:space="preserve">Depreciation </t>
  </si>
  <si>
    <t>Other Fixed Costs</t>
  </si>
  <si>
    <t>Marketing</t>
  </si>
  <si>
    <t xml:space="preserve">Office expenses </t>
  </si>
  <si>
    <t xml:space="preserve">Other expenses </t>
  </si>
  <si>
    <t>Summary</t>
  </si>
  <si>
    <t>Total Variable Costs</t>
  </si>
  <si>
    <t>Total Fixed Costs</t>
  </si>
  <si>
    <t>Total Expenses</t>
  </si>
  <si>
    <t>Income minus expenses</t>
  </si>
  <si>
    <r>
      <t xml:space="preserve">    </t>
    </r>
    <r>
      <rPr>
        <b/>
        <sz val="11"/>
        <rFont val="Arial"/>
        <family val="2"/>
      </rPr>
      <t>Instructions:</t>
    </r>
    <r>
      <rPr>
        <sz val="11"/>
        <rFont val="Arial"/>
        <family val="2"/>
      </rPr>
      <t xml:space="preserve"> </t>
    </r>
    <r>
      <rPr>
        <sz val="10"/>
        <color indexed="8"/>
        <rFont val="Arial"/>
        <family val="2"/>
      </rPr>
      <t>Fill in the blue text boxes.  Run your mouse over any text boxes with little red dots for detailed instructions.  Text boxes will change from blue to brown as you fill them in. To clear text-boxes use backspace (Open Office) or delete (Excel) ... or just over-write the text-boxes with new information.</t>
    </r>
  </si>
  <si>
    <t>Flock Targets</t>
  </si>
  <si>
    <t>Benchmarks</t>
  </si>
  <si>
    <t>Guideline</t>
  </si>
  <si>
    <t xml:space="preserve">Performance </t>
  </si>
  <si>
    <t>Your Farm</t>
  </si>
  <si>
    <t>Actual</t>
  </si>
  <si>
    <t>Lambing percent</t>
  </si>
  <si>
    <t>Cull rate</t>
  </si>
  <si>
    <t>Ewe Death Rate</t>
  </si>
  <si>
    <t xml:space="preserve">Ram death rate            </t>
  </si>
  <si>
    <t>Ram Death Rate</t>
  </si>
  <si>
    <t xml:space="preserve">Lamb death rate            </t>
  </si>
  <si>
    <t>Lamb Death Rate</t>
  </si>
  <si>
    <t>Market lamb price</t>
  </si>
  <si>
    <t>Feeder lamb price</t>
  </si>
  <si>
    <t>Direct to consumer lamb price</t>
  </si>
  <si>
    <t>Replacement ram-lamb sale price</t>
  </si>
  <si>
    <t>Replacement ewe-lamb sale price</t>
  </si>
  <si>
    <t>Labour per lamb sold</t>
  </si>
  <si>
    <t>Breeding ewe sale price</t>
  </si>
  <si>
    <t>Breeding ram sale price</t>
  </si>
  <si>
    <t>Cull ewe sale price</t>
  </si>
  <si>
    <t>Cull ram sale price</t>
  </si>
  <si>
    <t>Costs</t>
  </si>
  <si>
    <t>Feed Costs</t>
  </si>
  <si>
    <t xml:space="preserve">Projected replacements needed </t>
  </si>
  <si>
    <t>Ratio to adjust income and costs</t>
  </si>
  <si>
    <t>Other Costs</t>
  </si>
  <si>
    <t>Total Other Costs</t>
  </si>
  <si>
    <t>Equipment investment</t>
  </si>
  <si>
    <t>Barns &amp; infrastructure investment</t>
  </si>
  <si>
    <t>Average ewes and rams</t>
  </si>
  <si>
    <t xml:space="preserve">Estimated hourly return  </t>
  </si>
  <si>
    <t>Benchmark</t>
  </si>
  <si>
    <t>Varience</t>
  </si>
  <si>
    <t>Farm Value</t>
  </si>
  <si>
    <t>Return</t>
  </si>
  <si>
    <t>Financial Summary</t>
  </si>
  <si>
    <t>Amount ($)</t>
  </si>
  <si>
    <t>$/Ewe</t>
  </si>
  <si>
    <t>$/Lamb Mar</t>
  </si>
  <si>
    <t>$/Lamb Weaned</t>
  </si>
  <si>
    <t>Ratio lookup</t>
  </si>
  <si>
    <t>Gross expenses</t>
  </si>
  <si>
    <t>Lambing</t>
  </si>
  <si>
    <t>Gross income</t>
  </si>
  <si>
    <t>Net margin</t>
  </si>
  <si>
    <t>Net margin (w/o labour)</t>
  </si>
  <si>
    <t>Marketable</t>
  </si>
  <si>
    <t>Total investment</t>
  </si>
  <si>
    <t>Lamb Mort</t>
  </si>
  <si>
    <t>Ewe Mort</t>
  </si>
  <si>
    <t>Ram Mort</t>
  </si>
  <si>
    <t>HRS/lamb</t>
  </si>
  <si>
    <t>Price</t>
  </si>
  <si>
    <t>Price per lamb</t>
  </si>
  <si>
    <t>Total Costs</t>
  </si>
  <si>
    <t>Infrastructure</t>
  </si>
  <si>
    <t>Profit</t>
  </si>
  <si>
    <t>ROI</t>
  </si>
  <si>
    <t>Labour Rate</t>
  </si>
  <si>
    <t>Labour costs</t>
  </si>
  <si>
    <t>Hours / lamb</t>
  </si>
  <si>
    <t>Ewe mortality rate</t>
  </si>
  <si>
    <t>Ram mortality rate</t>
  </si>
  <si>
    <t>Flock Snapshot</t>
  </si>
  <si>
    <t>Guardians</t>
  </si>
  <si>
    <t>Value</t>
  </si>
  <si>
    <t>Flock growth</t>
  </si>
  <si>
    <t>Sheep operation size (# acres)</t>
  </si>
  <si>
    <t>Sales</t>
  </si>
  <si>
    <t>Amount/head</t>
  </si>
  <si>
    <t xml:space="preserve">Total </t>
  </si>
  <si>
    <t>Market &amp; feeder lambs</t>
  </si>
  <si>
    <t>Breeding sales</t>
  </si>
  <si>
    <t>Farm Summary</t>
  </si>
  <si>
    <t xml:space="preserve">     Back       </t>
  </si>
  <si>
    <t>Lambs sold:</t>
  </si>
  <si>
    <t xml:space="preserve">     Menu     </t>
  </si>
  <si>
    <t>Marketable lambs:</t>
  </si>
  <si>
    <t>Size of operation (acres):</t>
  </si>
  <si>
    <t>Operation growth :</t>
  </si>
  <si>
    <t>Performance Evaluation</t>
  </si>
  <si>
    <t>Performance</t>
  </si>
  <si>
    <t>Target</t>
  </si>
  <si>
    <t>Alerts</t>
  </si>
  <si>
    <t xml:space="preserve">      Lamb mortality</t>
  </si>
  <si>
    <t xml:space="preserve">      Marketable Lambs</t>
  </si>
  <si>
    <t xml:space="preserve">     Average price per lamb sold</t>
  </si>
  <si>
    <t xml:space="preserve">Profitability </t>
  </si>
  <si>
    <t>Labour return / hr</t>
  </si>
  <si>
    <t>Flock Report</t>
  </si>
  <si>
    <t>Sheep Flow Chart</t>
  </si>
  <si>
    <t>Animals</t>
  </si>
  <si>
    <t>January 1 Inventory</t>
  </si>
  <si>
    <t>Purchases</t>
  </si>
  <si>
    <t>Births</t>
  </si>
  <si>
    <t>Lamb Transfers</t>
  </si>
  <si>
    <t>Deaths</t>
  </si>
  <si>
    <t>December 31 Inventory</t>
  </si>
  <si>
    <t xml:space="preserve">Flock Performance </t>
  </si>
  <si>
    <t>Rate</t>
  </si>
  <si>
    <t>Target rate</t>
  </si>
  <si>
    <t>Projected cull</t>
  </si>
  <si>
    <t>Conception</t>
  </si>
  <si>
    <t>Culling</t>
  </si>
  <si>
    <t>Replacement</t>
  </si>
  <si>
    <t>Death</t>
  </si>
  <si>
    <t>Projected replacements</t>
  </si>
  <si>
    <t>Lambs born</t>
  </si>
  <si>
    <t>Marketed</t>
  </si>
  <si>
    <t>Marketable lambs lost over targets</t>
  </si>
  <si>
    <t>Financial Report</t>
  </si>
  <si>
    <t>Analysis</t>
  </si>
  <si>
    <t>Amount per ewe</t>
  </si>
  <si>
    <t xml:space="preserve">Amount per </t>
  </si>
  <si>
    <t>Gross Income</t>
  </si>
  <si>
    <t>Gross Expenses</t>
  </si>
  <si>
    <t>Net Margin</t>
  </si>
  <si>
    <t>Net Margin without labour</t>
  </si>
  <si>
    <t>Investment</t>
  </si>
  <si>
    <t>Precision Flock Management</t>
  </si>
  <si>
    <t>Cost/day</t>
  </si>
  <si>
    <t>Total Feed/Ewe</t>
  </si>
  <si>
    <t>Cost/Day/Ewe</t>
  </si>
  <si>
    <t>Total Pasture/Ewe</t>
  </si>
  <si>
    <t>Total Cost / Ewe</t>
  </si>
  <si>
    <t>Calculators</t>
  </si>
  <si>
    <t>Feed Cost Calculator</t>
  </si>
  <si>
    <t xml:space="preserve">Feed Calculator </t>
  </si>
  <si>
    <t>Feed Input Costs</t>
  </si>
  <si>
    <t>Feeds</t>
  </si>
  <si>
    <t>Your Farm Price</t>
  </si>
  <si>
    <t>Ave Cost/Day</t>
  </si>
  <si>
    <t>Ewe Feed Cost</t>
  </si>
  <si>
    <t>Ewe Pasture Cost</t>
  </si>
  <si>
    <t>Hay</t>
  </si>
  <si>
    <t>Energy (barley or corn)</t>
  </si>
  <si>
    <t>Protein (canola)</t>
  </si>
  <si>
    <t>Total Feed/Lamb</t>
  </si>
  <si>
    <t>Cost/Day/Lamb</t>
  </si>
  <si>
    <t>Total Pasture/Lamb</t>
  </si>
  <si>
    <t>Total Cost/Lamb</t>
  </si>
  <si>
    <t>Straw</t>
  </si>
  <si>
    <t>Mineral (per 25kg) **</t>
  </si>
  <si>
    <t>Ewe Costs</t>
  </si>
  <si>
    <t>Stage of production</t>
  </si>
  <si>
    <t>Days on feed</t>
  </si>
  <si>
    <t>Days on Pasture</t>
  </si>
  <si>
    <t>Maintenance (about 171 days)</t>
  </si>
  <si>
    <t>Flushing (about 14 days)</t>
  </si>
  <si>
    <t>Gestation 1 (90 days)</t>
  </si>
  <si>
    <t>Gestation 2 (60 days)</t>
  </si>
  <si>
    <t>Lactation (30 days minimum)</t>
  </si>
  <si>
    <t>Total Days</t>
  </si>
  <si>
    <t xml:space="preserve"> Marketing</t>
  </si>
  <si>
    <t>Lamb Costs</t>
  </si>
  <si>
    <t>Lambs (20 lbs +)</t>
  </si>
  <si>
    <t>Lamb Cost (21 - 40 lbs) - .9lb/day - est 22 days</t>
  </si>
  <si>
    <t>Lamb Cost (41 - 60 lbs) - .9lb/day - est 22 days</t>
  </si>
  <si>
    <t xml:space="preserve"> Labour</t>
  </si>
  <si>
    <t>Feed / animal</t>
  </si>
  <si>
    <t>Pasture / animal</t>
  </si>
  <si>
    <t>Total Cost</t>
  </si>
  <si>
    <t>Lamb Cost (61 - 80 lbs) - .7lb/day - est 28 days</t>
  </si>
  <si>
    <t>Lamb Cost (81 - 100 lbs) - .7lb/day - est 28 days</t>
  </si>
  <si>
    <t>Lamb Cost (101 - 110 lbs) - .7lb/day - est 28 days</t>
  </si>
  <si>
    <t>Total Estimated Feed Cost</t>
  </si>
  <si>
    <t>Lamb Cost (110 - 120 lbs) - .7lb/day - est 28 days</t>
  </si>
  <si>
    <t>Marketing Cost Calculator</t>
  </si>
  <si>
    <t>Marketing Costs</t>
  </si>
  <si>
    <t>Assumptions</t>
  </si>
  <si>
    <t>Comparison</t>
  </si>
  <si>
    <t>Number of lambs sold</t>
  </si>
  <si>
    <t>Target lamb sale weight (lbs)</t>
  </si>
  <si>
    <t>Market Price / ton</t>
  </si>
  <si>
    <t>Ave ROG</t>
  </si>
  <si>
    <t xml:space="preserve">Marketing period (number of weeks) </t>
  </si>
  <si>
    <t>Average number of lambs per load</t>
  </si>
  <si>
    <t>Weight gained over interval</t>
  </si>
  <si>
    <t>Distance to market</t>
  </si>
  <si>
    <t>Total number of loads</t>
  </si>
  <si>
    <t>Vehicle &amp; trailer cost/km</t>
  </si>
  <si>
    <t>Labour cost/load</t>
  </si>
  <si>
    <t>Lamb price / lb live</t>
  </si>
  <si>
    <t>Truck cost/load</t>
  </si>
  <si>
    <t>Time per load (hrs)</t>
  </si>
  <si>
    <t>Cost/load</t>
  </si>
  <si>
    <t>Cost/lambing season</t>
  </si>
  <si>
    <t>Calculations</t>
  </si>
  <si>
    <t>Average shipping interval (number of weeks)</t>
  </si>
  <si>
    <t>Average lamb wt (lbs)</t>
  </si>
  <si>
    <t>Market value per lamb</t>
  </si>
  <si>
    <t xml:space="preserve">Cost / lamb to ship </t>
  </si>
  <si>
    <t xml:space="preserve">Net return per lamb </t>
  </si>
  <si>
    <t>Labour Calculators (choose one of the following options)</t>
  </si>
  <si>
    <t>Task Method</t>
  </si>
  <si>
    <t>Task or period</t>
  </si>
  <si>
    <t>(recommended)</t>
  </si>
  <si>
    <t>Total days</t>
  </si>
  <si>
    <t>Total hours</t>
  </si>
  <si>
    <t>Salary Method</t>
  </si>
  <si>
    <t>Salary</t>
  </si>
  <si>
    <t>Person</t>
  </si>
  <si>
    <t>Budgeted hours</t>
  </si>
  <si>
    <t>(not recommended)</t>
  </si>
  <si>
    <t xml:space="preserve">   Top   </t>
  </si>
  <si>
    <t>Difference</t>
  </si>
  <si>
    <t>-</t>
  </si>
  <si>
    <t>Flock Snapshot Background</t>
  </si>
  <si>
    <t xml:space="preserve">  Background &amp; design</t>
  </si>
  <si>
    <t>The Flock Snapshot has been designed so that different types of operations can be compared to each other.  It does this in the following ways:</t>
  </si>
  <si>
    <r>
      <t>Sheep enterprise specific</t>
    </r>
    <r>
      <rPr>
        <sz val="12"/>
        <rFont val="Calibri"/>
        <family val="2"/>
      </rPr>
      <t xml:space="preserve"> - Only sheep enterprise incomes, costs, assets, and liabilities are included.  For example if the farm made its own hay for feed, this feed would be sold back to the operation at the going market rate for hay - since making hay is a separate farming enterprise.</t>
    </r>
  </si>
  <si>
    <r>
      <t>Land</t>
    </r>
    <r>
      <rPr>
        <sz val="12"/>
        <rFont val="Calibri"/>
        <family val="2"/>
      </rPr>
      <t xml:space="preserve"> - Land is rented back to the operation at agriculture rental rates.  This eliminates the problem of land cost in regions close to cities where land value is unrelated to agriculture value.</t>
    </r>
  </si>
  <si>
    <r>
      <t>Labour</t>
    </r>
    <r>
      <rPr>
        <sz val="12"/>
        <rFont val="Calibri"/>
        <family val="2"/>
      </rPr>
      <t xml:space="preserve"> - Labour is included as a cost in the Flock Snapshot.  Users are able to enter rates per hour for both management labour and farm labour. (We recommend that you enter farm labour rate per hour at the going rate for farm labour in your area)</t>
    </r>
  </si>
  <si>
    <r>
      <t xml:space="preserve"> </t>
    </r>
    <r>
      <rPr>
        <b/>
        <sz val="12"/>
        <rFont val="Calibri"/>
        <family val="2"/>
      </rPr>
      <t>Cost calculations</t>
    </r>
    <r>
      <rPr>
        <sz val="12"/>
        <rFont val="Calibri"/>
        <family val="2"/>
      </rPr>
      <t xml:space="preserve"> - Historically, cost of production in the sheep industry calculated costs as “cost per ewe”.  This is not however necessarily the best way to calculate costs since differences in ewe breeds and management practices can see ewe productivity range from 1 to as many as 3 lambs per ewe.   For this reason, the Flock Snapshot calculates costs based on costs per lamb sold (recommended) or costs per marketable lamb (lambs born less death loss).</t>
    </r>
  </si>
  <si>
    <r>
      <t>Percent use</t>
    </r>
    <r>
      <rPr>
        <sz val="12"/>
        <rFont val="Calibri"/>
        <family val="2"/>
      </rPr>
      <t xml:space="preserve"> - Assets and liabilities are weighted between farm enterprises based on how much value they bring to each enterprise.  For example if a tractor is worth $5,000.00 and it is used by the sheep operation only 50% of the time, the tractor is valued at $2,500.00 to the sheep enterprise.</t>
    </r>
  </si>
  <si>
    <r>
      <t>Asset Value &amp; Depreciation</t>
    </r>
    <r>
      <rPr>
        <sz val="12"/>
        <rFont val="Calibri"/>
        <family val="2"/>
      </rPr>
      <t xml:space="preserve"> - Assigning a market value and a fair depreciation rate has historically been the most difficult area of the Flock Snapshot to address.  The Flock Snapshot asks the producer to set a fair market value for the asset (what it would be worth at auction, or in the case of buildings, what the building adds to the value of the land).</t>
    </r>
  </si>
  <si>
    <r>
      <t>Real Costs</t>
    </r>
    <r>
      <rPr>
        <sz val="12"/>
        <rFont val="Calibri"/>
        <family val="2"/>
      </rPr>
      <t xml:space="preserve"> - The purpose of Revenue Canada bookkeeping is to minimize tax exposure by listing all allowable expenses.  The purpose of the Flock Snapshot is to fairly assess the viability of the sheep enterprise.  The value of this tool will be higher if data entered into the Flock Snapshot keeps this in mind.</t>
    </r>
  </si>
  <si>
    <t xml:space="preserve">  What the Flock Snapshot can and cannot do</t>
  </si>
  <si>
    <r>
      <t>Can – Calculate flock performance</t>
    </r>
    <r>
      <rPr>
        <sz val="10"/>
        <rFont val="Arial"/>
        <family val="2"/>
      </rPr>
      <t xml:space="preserve"> - The Flock Snapshot will create a detailed flock performance report in the Reports section once your data has been entered.  Also key flock performance measures will be summarized in a report called the "Flock Snapshot"</t>
    </r>
  </si>
  <si>
    <r>
      <t xml:space="preserve">Cannot – Generate a cash flow </t>
    </r>
    <r>
      <rPr>
        <sz val="10"/>
        <rFont val="Arial"/>
        <family val="2"/>
      </rPr>
      <t xml:space="preserve">- The Flock Snapshot </t>
    </r>
    <r>
      <rPr>
        <u val="single"/>
        <sz val="10"/>
        <rFont val="Arial"/>
        <family val="2"/>
      </rPr>
      <t>will not</t>
    </r>
    <r>
      <rPr>
        <sz val="10"/>
        <rFont val="Arial"/>
        <family val="2"/>
      </rPr>
      <t xml:space="preserve"> calculate your cash flow since some costs (i.e. land ownership) are projections based on agriculture rental rates in your region.  If you are making land payments your land costs will be higher since you are investing, and generating equity, in your land.  This strategy allows us to assess how the sheep operation is doing as opposed to the "land investment".  </t>
    </r>
  </si>
  <si>
    <r>
      <t xml:space="preserve">Can – Assess sheep enterprise financial performance - </t>
    </r>
    <r>
      <rPr>
        <sz val="10"/>
        <rFont val="Arial"/>
        <family val="2"/>
      </rPr>
      <t xml:space="preserve">Most farms have more than one enterprise.  For example they may make forage and/or grain, have other species of animals, and/or they may be investing in land.  Since the Flock Snapshot is only interested in the performance of the sheep enterprise no other farming activities are assessed.  </t>
    </r>
  </si>
  <si>
    <r>
      <t xml:space="preserve">Can – Set flock performance and financial performance targets </t>
    </r>
    <r>
      <rPr>
        <sz val="10"/>
        <rFont val="Arial"/>
        <family val="2"/>
      </rPr>
      <t>- The Flock Snapshot includes an area that allows the user to set flock and financial performance targets.  This "Targets" area also includes guidelines based on profitable flocks across Canada that participated in the traceability project.</t>
    </r>
  </si>
  <si>
    <r>
      <t xml:space="preserve">Can – Compare your operation - </t>
    </r>
    <r>
      <rPr>
        <sz val="10"/>
        <rFont val="Arial"/>
        <family val="2"/>
      </rPr>
      <t>Due to the way the Flock Snapshot calculates flock and financial performance, you can compare your flocks performance with other flocks - even if the other flocks are of a different type than your own.</t>
    </r>
  </si>
  <si>
    <r>
      <t xml:space="preserve">Can – Create detailed reports </t>
    </r>
    <r>
      <rPr>
        <sz val="10"/>
        <rFont val="Arial"/>
        <family val="2"/>
      </rPr>
      <t>- This version of the Flock Snapshot includes detailed reports including a Sheep Flowchart, a Flock Performance Summary, and a Financial Report.</t>
    </r>
  </si>
  <si>
    <r>
      <t>Can – Troubleshooting</t>
    </r>
    <r>
      <rPr>
        <sz val="10"/>
        <rFont val="Arial"/>
        <family val="2"/>
      </rPr>
      <t xml:space="preserve"> </t>
    </r>
    <r>
      <rPr>
        <b/>
        <sz val="10"/>
        <color indexed="10"/>
        <rFont val="Arial"/>
        <family val="2"/>
      </rPr>
      <t>(Under construction)</t>
    </r>
    <r>
      <rPr>
        <sz val="10"/>
        <rFont val="Arial"/>
        <family val="2"/>
      </rPr>
      <t xml:space="preserve"> - This area of the Flock Snapshot helps you to troubleshoot the areas in your sheep operation that need to be improved based on the benchmarks you have set.   It does this by asking you a series of questions to help identify the "root causes" to the problems you are experiencing. </t>
    </r>
  </si>
  <si>
    <r>
      <t xml:space="preserve">Can – Create an Action Plan </t>
    </r>
    <r>
      <rPr>
        <b/>
        <sz val="10"/>
        <color indexed="10"/>
        <rFont val="Arial"/>
        <family val="2"/>
      </rPr>
      <t>(Under construction)</t>
    </r>
    <r>
      <rPr>
        <b/>
        <sz val="10"/>
        <rFont val="Arial"/>
        <family val="2"/>
      </rPr>
      <t xml:space="preserve"> -</t>
    </r>
    <r>
      <rPr>
        <sz val="10"/>
        <rFont val="Arial"/>
        <family val="2"/>
      </rPr>
      <t xml:space="preserve"> Once you have completed the Troubleshooting area, the Action Plan will help you to pick solutions so that you can lay out an action plan based on what needs to be addressed in your operation.</t>
    </r>
  </si>
  <si>
    <t>Vision – actual model</t>
  </si>
  <si>
    <t>Sheep Enterprise Expenses</t>
  </si>
  <si>
    <t>Analysis Detail</t>
  </si>
  <si>
    <t>Variable Expenses</t>
  </si>
  <si>
    <t>Value per Ewe</t>
  </si>
  <si>
    <t>Value per Lamb</t>
  </si>
  <si>
    <t>Feed costs per ewe</t>
  </si>
  <si>
    <t>Per lamb</t>
  </si>
  <si>
    <t>Net enterprise margin per ewe</t>
  </si>
  <si>
    <t>Marketable/Sold Ratio</t>
  </si>
  <si>
    <t>Labour hrs per ewe</t>
  </si>
  <si>
    <t xml:space="preserve">Grazing </t>
  </si>
  <si>
    <t>Total weight of lamb sold (lbs)</t>
  </si>
  <si>
    <t xml:space="preserve">Total Income </t>
  </si>
  <si>
    <t>Total feed</t>
  </si>
  <si>
    <t>Total sales</t>
  </si>
  <si>
    <t>Total animal purchases</t>
  </si>
  <si>
    <t>Total Labour</t>
  </si>
  <si>
    <t>Sheep Expenses</t>
  </si>
  <si>
    <t>Total value of production</t>
  </si>
  <si>
    <t>Depreciation</t>
  </si>
  <si>
    <t>Animal Health / Vet</t>
  </si>
  <si>
    <t>Total variable costs</t>
  </si>
  <si>
    <t>Sheep Enterprise Supplies</t>
  </si>
  <si>
    <t>Total fixed costs</t>
  </si>
  <si>
    <t>Total Other expenses</t>
  </si>
  <si>
    <t>Total Other Expenses</t>
  </si>
  <si>
    <t>Land Value (Non grazing)</t>
  </si>
  <si>
    <t xml:space="preserve">Gross margin </t>
  </si>
  <si>
    <t>Total Other</t>
  </si>
  <si>
    <t>Gross margin per ewe</t>
  </si>
  <si>
    <t>Net income</t>
  </si>
  <si>
    <t>Gross margin per lamb</t>
  </si>
  <si>
    <t>Net income + labour</t>
  </si>
  <si>
    <t>Utilities/Other</t>
  </si>
  <si>
    <t>Gross margin as % of total value of production</t>
  </si>
  <si>
    <t>Net VOP</t>
  </si>
  <si>
    <t>Advertising &amp; Promotion</t>
  </si>
  <si>
    <t>Net enterprise margin</t>
  </si>
  <si>
    <t>Income per hour</t>
  </si>
  <si>
    <t>Net enterprise margin (labour removed)</t>
  </si>
  <si>
    <t>Total Hrs Operation</t>
  </si>
  <si>
    <t>Office &amp; Administration</t>
  </si>
  <si>
    <t>Variable costs as a % of total value of production</t>
  </si>
  <si>
    <t>Condition</t>
  </si>
  <si>
    <t>Equipment Fuel &amp; Oil</t>
  </si>
  <si>
    <t>Fixed costs as a % of total value of production</t>
  </si>
  <si>
    <t>`</t>
  </si>
  <si>
    <t>Operating Interest</t>
  </si>
  <si>
    <t>Value of labour / operation</t>
  </si>
  <si>
    <t>Actual Farm</t>
  </si>
  <si>
    <t>Formula Conversion</t>
  </si>
  <si>
    <t>Labour return / operation</t>
  </si>
  <si>
    <t>Number lambs dead/number born</t>
  </si>
  <si>
    <t xml:space="preserve">Percent of lambs still unsold </t>
  </si>
  <si>
    <t xml:space="preserve">Farm costs </t>
  </si>
  <si>
    <t>Pasture cost (calculated from ledger)</t>
  </si>
  <si>
    <t>Net margin labour rem</t>
  </si>
  <si>
    <t xml:space="preserve">Tools &amp; supplies </t>
  </si>
  <si>
    <t>Facility Repair</t>
  </si>
  <si>
    <t>Total hours labour in the operation (calculated)</t>
  </si>
  <si>
    <t>Change in farm value</t>
  </si>
  <si>
    <t>Machinery Repair</t>
  </si>
  <si>
    <t>Average labour rate in the operation (calculated)</t>
  </si>
  <si>
    <t>Lamb deaths</t>
  </si>
  <si>
    <t>Total Small Tool/Equ/Repair</t>
  </si>
  <si>
    <t>Total unpaid hours in the operation (person/hours)</t>
  </si>
  <si>
    <t>Ram deaths</t>
  </si>
  <si>
    <t>Ewe Replacement Rate</t>
  </si>
  <si>
    <t>Ewe deaths</t>
  </si>
  <si>
    <t>Number of lamb choice (sold vs marketable)</t>
  </si>
  <si>
    <t>Sold Lambs</t>
  </si>
  <si>
    <t>Total closing value of all animals</t>
  </si>
  <si>
    <t>Total closing value of farm equipment</t>
  </si>
  <si>
    <t>Infrastructure value</t>
  </si>
  <si>
    <t>Total closing value of barns and infrastructure</t>
  </si>
  <si>
    <t>Total closing value of office &amp; electronic equipment</t>
  </si>
  <si>
    <t>Change ewes</t>
  </si>
  <si>
    <t>Total Animals</t>
  </si>
  <si>
    <t>Change rams</t>
  </si>
  <si>
    <t>Equipment depreciation</t>
  </si>
  <si>
    <t>Change lambs</t>
  </si>
  <si>
    <t>Building &amp; infrastructure depreciation</t>
  </si>
  <si>
    <t>Total Change</t>
  </si>
  <si>
    <t>Owner Drawings</t>
  </si>
  <si>
    <t>Office equipment depreciation</t>
  </si>
  <si>
    <t>Unpaid Labour</t>
  </si>
  <si>
    <t>Total Sheep Operation Value of Assets</t>
  </si>
  <si>
    <t>Contract Work</t>
  </si>
  <si>
    <t>Total Sheep Operation Asset Depreciation</t>
  </si>
  <si>
    <t>Hired Help</t>
  </si>
  <si>
    <t>Hours per lamb</t>
  </si>
  <si>
    <t>Asset</t>
  </si>
  <si>
    <t>Asset Total</t>
  </si>
  <si>
    <t>Amount spent / lamb</t>
  </si>
  <si>
    <t>Assets</t>
  </si>
  <si>
    <t>Farm Equipment</t>
  </si>
  <si>
    <t>Total Variable Expenses</t>
  </si>
  <si>
    <t>Buildings, Corrals, Feeders</t>
  </si>
  <si>
    <t>Fixed Expenses</t>
  </si>
  <si>
    <t xml:space="preserve">Investment </t>
  </si>
  <si>
    <t>Long Term Interest</t>
  </si>
  <si>
    <t>Total Fixed Expenses</t>
  </si>
  <si>
    <t xml:space="preserve">Opening Value of Animals </t>
  </si>
  <si>
    <t>Operation hours = number of ewes * X + number of lambs * Y</t>
  </si>
  <si>
    <t>Opening Value of Operation</t>
  </si>
  <si>
    <t>Value/ewe or ram in other sales</t>
  </si>
  <si>
    <t>Change between opening and closing value</t>
  </si>
  <si>
    <t>Opening Inventory</t>
  </si>
  <si>
    <t xml:space="preserve">Opening Inventory </t>
  </si>
  <si>
    <t xml:space="preserve">Target Closing </t>
  </si>
  <si>
    <t>Culls</t>
  </si>
  <si>
    <t>Replacements</t>
  </si>
  <si>
    <t>Replacements needed</t>
  </si>
  <si>
    <t xml:space="preserve">Rams  </t>
  </si>
  <si>
    <t>Target births</t>
  </si>
  <si>
    <t>Net lambs</t>
  </si>
  <si>
    <t>Marketable lambs</t>
  </si>
  <si>
    <t>Selected from Welcome</t>
  </si>
  <si>
    <t xml:space="preserve">Income  </t>
  </si>
  <si>
    <t>Market lamb income</t>
  </si>
  <si>
    <t xml:space="preserve">Income   </t>
  </si>
  <si>
    <t>Feeder lamb income</t>
  </si>
  <si>
    <t>Income/lamb selected</t>
  </si>
  <si>
    <t xml:space="preserve">Direct consumer </t>
  </si>
  <si>
    <t>Rep ram lamb income</t>
  </si>
  <si>
    <t>Rep ewe lamb income</t>
  </si>
  <si>
    <t>Total Lamb Income</t>
  </si>
  <si>
    <t>Breeding ewe income</t>
  </si>
  <si>
    <t>Breeding ram income</t>
  </si>
  <si>
    <t>Cull ewe income</t>
  </si>
  <si>
    <t>Cull ram income</t>
  </si>
  <si>
    <t xml:space="preserve">Total Feed  </t>
  </si>
  <si>
    <t>Productivity Adjustment Formula – Ewe rate</t>
  </si>
  <si>
    <t>Productivity Adjustment Formula – Lamb rate</t>
  </si>
  <si>
    <t>Lamb cost</t>
  </si>
  <si>
    <t>Total Feed</t>
  </si>
  <si>
    <t>Ewe cost</t>
  </si>
  <si>
    <t>Hours</t>
  </si>
  <si>
    <t>Total Labour hrs</t>
  </si>
  <si>
    <t>Labour Cost</t>
  </si>
  <si>
    <t>Other costs total</t>
  </si>
  <si>
    <t>Lamb Other</t>
  </si>
  <si>
    <t>Lamb other total cost</t>
  </si>
  <si>
    <t>Ewe Other</t>
  </si>
  <si>
    <t>Ewe other total cost</t>
  </si>
  <si>
    <t>Total Investment</t>
  </si>
  <si>
    <t xml:space="preserve">  Flock Snapshot - December 31</t>
  </si>
  <si>
    <t>Business Name</t>
  </si>
  <si>
    <t>Type of Operation</t>
  </si>
  <si>
    <t>Operations Summary</t>
  </si>
  <si>
    <t>Number of animals</t>
  </si>
  <si>
    <t>Average value of animals</t>
  </si>
  <si>
    <t>Sheep enterprise growth</t>
  </si>
  <si>
    <t>Sheep enterprise land base</t>
  </si>
  <si>
    <t>Sales Information</t>
  </si>
  <si>
    <t xml:space="preserve">Number </t>
  </si>
  <si>
    <t>Amount/hd</t>
  </si>
  <si>
    <t>Dollar amount</t>
  </si>
  <si>
    <t>Percent lambs</t>
  </si>
  <si>
    <t>Market &amp; feeder lamb sales</t>
  </si>
  <si>
    <t>Direct to consumer sales</t>
  </si>
  <si>
    <t>Breeding ewe &amp; ram lamb sales</t>
  </si>
  <si>
    <t>Breeding ewe &amp; ram sales</t>
  </si>
  <si>
    <t>$/Lamb born</t>
  </si>
  <si>
    <t>$/lbs</t>
  </si>
  <si>
    <t>Stocking density (#/acre)</t>
  </si>
  <si>
    <t>Sheep enterprise labour (hrs)</t>
  </si>
  <si>
    <t>Benchmarking Analysis</t>
  </si>
  <si>
    <t>Performance Targets</t>
  </si>
  <si>
    <t>Financial Analysis</t>
  </si>
  <si>
    <t>Excellent</t>
  </si>
  <si>
    <t>Improve</t>
  </si>
  <si>
    <t>Feed costs/lamb marketed</t>
  </si>
  <si>
    <t>Total cost per lamb marketed</t>
  </si>
  <si>
    <t>Costs of production/lbs sold</t>
  </si>
  <si>
    <t>Farm equipment investment / lamb</t>
  </si>
  <si>
    <t>Buildings &amp; infrastructure investment / lamb</t>
  </si>
  <si>
    <t>Sheep enterprise income / lamb marketed</t>
  </si>
  <si>
    <t xml:space="preserve">Average sale price / lamb marketed </t>
  </si>
  <si>
    <t>Price/lamb needed to break even (incl labour)</t>
  </si>
  <si>
    <t>Price/lamb needed to break even (w/o labour)</t>
  </si>
  <si>
    <t>Net margin/lamb marketed</t>
  </si>
  <si>
    <t>Return on investment at base labour rate</t>
  </si>
  <si>
    <t>Management</t>
  </si>
  <si>
    <t>Labour hrs/lamb marketed</t>
  </si>
  <si>
    <t>Labour/hr return</t>
  </si>
  <si>
    <t>Lambing % (ewes exposed)</t>
  </si>
  <si>
    <t>Lambs weaned/ewe (ewes exposed)</t>
  </si>
  <si>
    <t>Lamb mortality rate</t>
  </si>
  <si>
    <t xml:space="preserve">Cost to feed each lamb             </t>
  </si>
  <si>
    <t xml:space="preserve">Cost to feed each ewe             </t>
  </si>
  <si>
    <t>Prices</t>
  </si>
  <si>
    <t>Market lambs</t>
  </si>
  <si>
    <t>Feeder lambs</t>
  </si>
  <si>
    <t>Rep ram lambs</t>
  </si>
  <si>
    <t>Rep ewe lambs</t>
  </si>
  <si>
    <t>Breeding ewes</t>
  </si>
  <si>
    <t>Breeding rams</t>
  </si>
  <si>
    <t>Cull ewes</t>
  </si>
  <si>
    <t>Cull rams</t>
  </si>
  <si>
    <t>Ratio of Sales</t>
  </si>
  <si>
    <t>Total Lamb Sales</t>
  </si>
  <si>
    <t>Total Ewes</t>
  </si>
  <si>
    <t>Total Rams</t>
  </si>
  <si>
    <t>Number of sales</t>
  </si>
  <si>
    <t>Ratio of Amount of sales</t>
  </si>
  <si>
    <t>Other income</t>
  </si>
  <si>
    <t>Lamb Sales Ratio</t>
  </si>
  <si>
    <t>$$/lamb</t>
  </si>
  <si>
    <t xml:space="preserve">Labour  </t>
  </si>
  <si>
    <t>Total Operation person/hours</t>
  </si>
  <si>
    <t xml:space="preserve">Total Feed Cost (calculated)                 </t>
  </si>
  <si>
    <t xml:space="preserve">                            Conception rate           </t>
  </si>
  <si>
    <t>Conception rate</t>
  </si>
  <si>
    <t>Projected marketable lambs</t>
  </si>
  <si>
    <t>Total "other costs"</t>
  </si>
  <si>
    <t xml:space="preserve">Total costs </t>
  </si>
  <si>
    <t xml:space="preserve">Cull rate (does not include death rate)     </t>
  </si>
  <si>
    <t xml:space="preserve">Ewe death rate            </t>
  </si>
  <si>
    <r>
      <t>Diagnosis</t>
    </r>
    <r>
      <rPr>
        <sz val="12"/>
        <rFont val="Calibri"/>
        <family val="2"/>
      </rPr>
      <t xml:space="preserve"> – (Under Construction) – You will be able to use this worksheet to help you identify the “issues” and “root causes” in the areas of your operation where you are not meeting your targets.</t>
    </r>
  </si>
  <si>
    <r>
      <t>Action Plan</t>
    </r>
    <r>
      <rPr>
        <sz val="12"/>
        <rFont val="Calibri"/>
        <family val="2"/>
      </rPr>
      <t xml:space="preserve"> – (Under Construction) – You will be able to use this worksheet to help you figure out an Action Plan that will make your operation more profitable.</t>
    </r>
  </si>
  <si>
    <r>
      <t xml:space="preserve">The Flock Snapshot was developed through the </t>
    </r>
    <r>
      <rPr>
        <b/>
        <sz val="12"/>
        <rFont val="Calibri"/>
        <family val="2"/>
      </rPr>
      <t>Alberta Lamb Traceability Pilot Project</t>
    </r>
    <r>
      <rPr>
        <sz val="12"/>
        <rFont val="Calibri"/>
        <family val="2"/>
      </rPr>
      <t xml:space="preserve"> to help participating farms better understand their flock's performance and costs of production (COP).  By understanding COP we are able to project the potential value of RFID management systems for Alberta and Canadian producers.</t>
    </r>
  </si>
  <si>
    <t>Barns</t>
  </si>
  <si>
    <t>Feeders</t>
  </si>
  <si>
    <t>Corrals/Handling</t>
  </si>
  <si>
    <t>Grain storage/bins</t>
  </si>
  <si>
    <t>Wool &amp; Other Income</t>
  </si>
  <si>
    <t>Breeding Sales</t>
  </si>
  <si>
    <t>Target Closing</t>
  </si>
  <si>
    <t>Computer system</t>
  </si>
  <si>
    <t>Net Lambs</t>
  </si>
  <si>
    <t>Closing</t>
  </si>
  <si>
    <t>Inventory adj value</t>
  </si>
  <si>
    <t>Cost to feed each lamb</t>
  </si>
  <si>
    <t>Cost to feed each ewe</t>
  </si>
  <si>
    <t>Labour time per each lamb</t>
  </si>
  <si>
    <t>Labour time per each ewe</t>
  </si>
  <si>
    <t>Other costs per each lamb</t>
  </si>
  <si>
    <t>Other costs per each ewe</t>
  </si>
  <si>
    <t>Carry-over lambs</t>
  </si>
  <si>
    <t>Percent finished</t>
  </si>
  <si>
    <t>Marketable lamb feed</t>
  </si>
  <si>
    <t>Dead lamb feed</t>
  </si>
  <si>
    <t xml:space="preserve">Percent cost </t>
  </si>
  <si>
    <t>Ewe &amp; Ram feed</t>
  </si>
  <si>
    <t>Carry over lamb feed</t>
  </si>
  <si>
    <t>Marketable lamb labour</t>
  </si>
  <si>
    <t>Dead lamb labour</t>
  </si>
  <si>
    <t>Carry over labour</t>
  </si>
  <si>
    <t>Ewe &amp; Ram labour</t>
  </si>
  <si>
    <t>Marketable lamb other</t>
  </si>
  <si>
    <t>Dead lamb other</t>
  </si>
  <si>
    <t>Carry over other</t>
  </si>
  <si>
    <t>Ewe &amp; Ram other</t>
  </si>
  <si>
    <t>Carry over lambs</t>
  </si>
  <si>
    <t>Cull sales</t>
  </si>
  <si>
    <t>Ewe and Ram feed</t>
  </si>
  <si>
    <t>Feed Actual</t>
  </si>
  <si>
    <t>Total Lamb feed</t>
  </si>
  <si>
    <t>Tractor</t>
  </si>
  <si>
    <t>Pickup</t>
  </si>
  <si>
    <t>Minerals</t>
  </si>
  <si>
    <t>Total income (calculated)</t>
  </si>
  <si>
    <t>Time per marketable lamb</t>
  </si>
  <si>
    <t>Time per lamb sold</t>
  </si>
  <si>
    <t xml:space="preserve">Farm Data   </t>
  </si>
  <si>
    <t>Snapshot Year:</t>
  </si>
  <si>
    <t>Average number of ewes:</t>
  </si>
  <si>
    <t xml:space="preserve">Your comments: </t>
  </si>
  <si>
    <t>Forage (i.e. hay/silage)</t>
  </si>
  <si>
    <t>Energy (i.e. barley)</t>
  </si>
  <si>
    <t xml:space="preserve">Protein (i.e. canola/soybean) </t>
  </si>
  <si>
    <t>Your Comments:</t>
  </si>
  <si>
    <t>Building repair</t>
  </si>
  <si>
    <t>Cost of Production (COP)</t>
  </si>
  <si>
    <t>COP</t>
  </si>
  <si>
    <t xml:space="preserve">Benchmarks </t>
  </si>
  <si>
    <t xml:space="preserve">Your Comments: </t>
  </si>
  <si>
    <t>Live Weight (lbs)</t>
  </si>
  <si>
    <t>Stock trailer</t>
  </si>
  <si>
    <t>Fences</t>
  </si>
  <si>
    <t>(Add other items as needed)</t>
  </si>
  <si>
    <t>Number of days</t>
  </si>
  <si>
    <t>Person/hours/day</t>
  </si>
  <si>
    <t>IOP</t>
  </si>
  <si>
    <t>REM - For Alerts use the minimum profit number below</t>
  </si>
  <si>
    <t>REM - For Alerts use the minimum ROI number below</t>
  </si>
  <si>
    <t>Target Model</t>
  </si>
  <si>
    <t xml:space="preserve">Farm Actual </t>
  </si>
  <si>
    <t>Benchmark Model</t>
  </si>
  <si>
    <t>Direct to consumer price</t>
  </si>
  <si>
    <t>Replacement ram-lamb price</t>
  </si>
  <si>
    <t>Replacement ewe-lamb price</t>
  </si>
  <si>
    <t>Breeding ewe price</t>
  </si>
  <si>
    <t>Breeding ram price</t>
  </si>
  <si>
    <t>Cull ewe price</t>
  </si>
  <si>
    <t>Cull ram price</t>
  </si>
  <si>
    <t>Average labour rate</t>
  </si>
  <si>
    <t>Equipment Investment / lamb</t>
  </si>
  <si>
    <t>Building Investment / lamb</t>
  </si>
  <si>
    <t>Office Equipment / lamb</t>
  </si>
  <si>
    <t>Cost of a guardian</t>
  </si>
  <si>
    <t xml:space="preserve">Total animals </t>
  </si>
  <si>
    <t xml:space="preserve">Total depreciation </t>
  </si>
  <si>
    <t>Market Lambs</t>
  </si>
  <si>
    <t>Feeder Lambs</t>
  </si>
  <si>
    <t>Wool &amp; Other value/ewe</t>
  </si>
  <si>
    <t>Percent Sales</t>
  </si>
  <si>
    <t>Direct to Consumer Lambs</t>
  </si>
  <si>
    <t>Other costs/lamb sold</t>
  </si>
  <si>
    <t>Replacement ewe lambs</t>
  </si>
  <si>
    <t>Replacement ram lambs</t>
  </si>
  <si>
    <t>Profit per lamb</t>
  </si>
  <si>
    <t>Note: this model is "flat" (opening and closing inventories are balanced)</t>
  </si>
  <si>
    <t>Note –this model follows the farm VOP - VOP changes based on changing targets which in turn result in more or fewer lambs sold.</t>
  </si>
  <si>
    <t>REM - For Alerts use the minimum of Labour Rate entered in FarmData as per below</t>
  </si>
  <si>
    <t>s</t>
  </si>
  <si>
    <t>Total Ewe&amp;Ram Income</t>
  </si>
  <si>
    <t>Sub Total</t>
  </si>
  <si>
    <t>Lamb drop rate</t>
  </si>
  <si>
    <t xml:space="preserve">      Lambing rate</t>
  </si>
  <si>
    <t>Sheep tools</t>
  </si>
  <si>
    <t>Management Software &amp; Tools</t>
  </si>
  <si>
    <t>Financial return</t>
  </si>
  <si>
    <t>Ewe/Ram Ratio</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</si>
</sst>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1009]#,##0.00;[Red]\-[$$-1009]#,##0.00"/>
    <numFmt numFmtId="166" formatCode="[$$-1009]#,##0.00"/>
    <numFmt numFmtId="167" formatCode="_(\$* #,##0.00_);_(\$* \(#,##0.00\);_(\$* \-??_);_(@_)"/>
    <numFmt numFmtId="168" formatCode="dd\-mmm"/>
    <numFmt numFmtId="169" formatCode="\$#,##0.00_);&quot;($&quot;#,##0.00\)"/>
    <numFmt numFmtId="170" formatCode="0.00%;[Red]\-0.00%"/>
    <numFmt numFmtId="171" formatCode="#,##0;\-#,##0"/>
    <numFmt numFmtId="172" formatCode="#,##0;[Red]\-#,##0"/>
    <numFmt numFmtId="173" formatCode="\$#,##0.00_);[Red]&quot;($&quot;#,##0.00\)"/>
    <numFmt numFmtId="174" formatCode="0.0000"/>
    <numFmt numFmtId="175" formatCode="[$$-1009]#,##0.0000"/>
    <numFmt numFmtId="176" formatCode="\$#,##0.0000"/>
    <numFmt numFmtId="177" formatCode="mmmm\ d&quot;, &quot;yyyy"/>
    <numFmt numFmtId="178" formatCode="0.0"/>
    <numFmt numFmtId="179" formatCode="\$#,##0_);[Red]&quot;($&quot;#,##0\)"/>
    <numFmt numFmtId="180" formatCode="\$#,##0_);&quot;($&quot;#,##0\)"/>
    <numFmt numFmtId="181" formatCode="&quot;$&quot;#,##0.00"/>
    <numFmt numFmtId="182" formatCode="&quot;$&quot;#,##0"/>
    <numFmt numFmtId="183" formatCode="[$$-1009]#,##0.00;[Red][$$-1009]#,##0.00"/>
    <numFmt numFmtId="184" formatCode="0.000000000000000%"/>
    <numFmt numFmtId="185" formatCode="0.000_);\(0.000\)"/>
    <numFmt numFmtId="186" formatCode="0.000"/>
    <numFmt numFmtId="187" formatCode="[$$-1009]#,##0.000;[Red][$$-1009]#,##0.000"/>
    <numFmt numFmtId="188" formatCode="[$$-1009]#,##0;[Red][$$-1009]#,##0"/>
    <numFmt numFmtId="189" formatCode="0.0000000000"/>
    <numFmt numFmtId="190" formatCode="&quot;Yes&quot;;&quot;Yes&quot;;&quot;No&quot;"/>
    <numFmt numFmtId="191" formatCode="&quot;True&quot;;&quot;True&quot;;&quot;False&quot;"/>
    <numFmt numFmtId="192" formatCode="&quot;On&quot;;&quot;On&quot;;&quot;Off&quot;"/>
    <numFmt numFmtId="193" formatCode="[$€-2]\ #,##0.00_);[Red]\([$€-2]\ #,##0.00\)"/>
    <numFmt numFmtId="194" formatCode="[$$-1009]#,##0"/>
  </numFmts>
  <fonts count="116">
    <font>
      <sz val="10"/>
      <name val="Arial"/>
      <family val="2"/>
    </font>
    <font>
      <b/>
      <sz val="16"/>
      <name val="Calibri"/>
      <family val="2"/>
    </font>
    <font>
      <sz val="10"/>
      <name val="Calibri"/>
      <family val="2"/>
    </font>
    <font>
      <b/>
      <sz val="10"/>
      <name val="Arial"/>
      <family val="2"/>
    </font>
    <font>
      <sz val="11"/>
      <name val="Calibri"/>
      <family val="2"/>
    </font>
    <font>
      <b/>
      <sz val="11"/>
      <color indexed="26"/>
      <name val="Calibri"/>
      <family val="2"/>
    </font>
    <font>
      <b/>
      <sz val="11"/>
      <color indexed="8"/>
      <name val="Calibri"/>
      <family val="2"/>
    </font>
    <font>
      <b/>
      <sz val="11"/>
      <name val="Calibri"/>
      <family val="2"/>
    </font>
    <font>
      <b/>
      <sz val="14"/>
      <color indexed="12"/>
      <name val="Cambria"/>
      <family val="1"/>
    </font>
    <font>
      <u val="single"/>
      <sz val="10"/>
      <color indexed="12"/>
      <name val="Arial"/>
      <family val="2"/>
    </font>
    <font>
      <b/>
      <i/>
      <sz val="18"/>
      <name val="Cambria"/>
      <family val="1"/>
    </font>
    <font>
      <sz val="11"/>
      <color indexed="8"/>
      <name val="Calibri"/>
      <family val="2"/>
    </font>
    <font>
      <sz val="10"/>
      <color indexed="8"/>
      <name val="Tahoma"/>
      <family val="2"/>
    </font>
    <font>
      <b/>
      <u val="single"/>
      <sz val="10"/>
      <name val="Arial"/>
      <family val="2"/>
    </font>
    <font>
      <b/>
      <sz val="11"/>
      <name val="Arial"/>
      <family val="2"/>
    </font>
    <font>
      <b/>
      <sz val="18"/>
      <name val="Cambria"/>
      <family val="1"/>
    </font>
    <font>
      <b/>
      <i/>
      <sz val="28"/>
      <color indexed="19"/>
      <name val="Cambria"/>
      <family val="1"/>
    </font>
    <font>
      <b/>
      <sz val="12"/>
      <color indexed="19"/>
      <name val="Arial"/>
      <family val="2"/>
    </font>
    <font>
      <sz val="12"/>
      <name val="Symbol"/>
      <family val="1"/>
    </font>
    <font>
      <b/>
      <sz val="12"/>
      <name val="Calibri"/>
      <family val="2"/>
    </font>
    <font>
      <sz val="12"/>
      <name val="Calibri"/>
      <family val="2"/>
    </font>
    <font>
      <b/>
      <i/>
      <sz val="28"/>
      <color indexed="52"/>
      <name val="Cambria"/>
      <family val="1"/>
    </font>
    <font>
      <sz val="11"/>
      <name val="Arial"/>
      <family val="2"/>
    </font>
    <font>
      <sz val="10"/>
      <color indexed="8"/>
      <name val="Arial"/>
      <family val="2"/>
    </font>
    <font>
      <sz val="14"/>
      <color indexed="9"/>
      <name val="Calibri"/>
      <family val="2"/>
    </font>
    <font>
      <b/>
      <i/>
      <sz val="9"/>
      <name val="Arial"/>
      <family val="2"/>
    </font>
    <font>
      <b/>
      <sz val="16"/>
      <color indexed="12"/>
      <name val="Calibri"/>
      <family val="2"/>
    </font>
    <font>
      <sz val="10"/>
      <color indexed="43"/>
      <name val="Arial"/>
      <family val="2"/>
    </font>
    <font>
      <u val="single"/>
      <sz val="10"/>
      <color indexed="8"/>
      <name val="Tahoma"/>
      <family val="2"/>
    </font>
    <font>
      <b/>
      <sz val="10"/>
      <color indexed="8"/>
      <name val="Tahoma"/>
      <family val="2"/>
    </font>
    <font>
      <sz val="16"/>
      <color indexed="8"/>
      <name val="Calibri"/>
      <family val="2"/>
    </font>
    <font>
      <sz val="8"/>
      <name val="Arial"/>
      <family val="2"/>
    </font>
    <font>
      <b/>
      <sz val="16"/>
      <color indexed="8"/>
      <name val="Calibri"/>
      <family val="2"/>
    </font>
    <font>
      <b/>
      <i/>
      <sz val="36"/>
      <color indexed="19"/>
      <name val="Cambria"/>
      <family val="1"/>
    </font>
    <font>
      <i/>
      <sz val="36"/>
      <color indexed="53"/>
      <name val="Cambria"/>
      <family val="1"/>
    </font>
    <font>
      <i/>
      <sz val="16"/>
      <color indexed="8"/>
      <name val="Calibri"/>
      <family val="2"/>
    </font>
    <font>
      <b/>
      <i/>
      <sz val="16"/>
      <color indexed="19"/>
      <name val="Cambria"/>
      <family val="1"/>
    </font>
    <font>
      <vertAlign val="superscript"/>
      <sz val="10"/>
      <name val="Arial"/>
      <family val="2"/>
    </font>
    <font>
      <b/>
      <sz val="10"/>
      <color indexed="8"/>
      <name val="Arial"/>
      <family val="2"/>
    </font>
    <font>
      <sz val="10"/>
      <color indexed="9"/>
      <name val="Arial"/>
      <family val="2"/>
    </font>
    <font>
      <b/>
      <sz val="18"/>
      <color indexed="9"/>
      <name val="Calibri"/>
      <family val="2"/>
    </font>
    <font>
      <b/>
      <sz val="18"/>
      <name val="Calibri"/>
      <family val="2"/>
    </font>
    <font>
      <b/>
      <i/>
      <sz val="36"/>
      <color indexed="52"/>
      <name val="Cambria"/>
      <family val="1"/>
    </font>
    <font>
      <sz val="36"/>
      <name val="Arial"/>
      <family val="2"/>
    </font>
    <font>
      <b/>
      <sz val="11"/>
      <color indexed="57"/>
      <name val="Calibri"/>
      <family val="2"/>
    </font>
    <font>
      <b/>
      <i/>
      <sz val="20"/>
      <color indexed="19"/>
      <name val="Cambria"/>
      <family val="1"/>
    </font>
    <font>
      <b/>
      <i/>
      <sz val="20"/>
      <color indexed="52"/>
      <name val="Cambria"/>
      <family val="1"/>
    </font>
    <font>
      <b/>
      <sz val="10"/>
      <color indexed="9"/>
      <name val="Arial"/>
      <family val="2"/>
    </font>
    <font>
      <b/>
      <sz val="28"/>
      <color indexed="52"/>
      <name val="Cambria"/>
      <family val="1"/>
    </font>
    <font>
      <b/>
      <sz val="24"/>
      <color indexed="52"/>
      <name val="Cambria"/>
      <family val="1"/>
    </font>
    <font>
      <b/>
      <i/>
      <sz val="18"/>
      <color indexed="52"/>
      <name val="Cambria"/>
      <family val="1"/>
    </font>
    <font>
      <b/>
      <sz val="9"/>
      <name val="Arial"/>
      <family val="2"/>
    </font>
    <font>
      <sz val="18"/>
      <name val="Arial"/>
      <family val="2"/>
    </font>
    <font>
      <b/>
      <sz val="10"/>
      <color indexed="26"/>
      <name val="Arial"/>
      <family val="2"/>
    </font>
    <font>
      <sz val="10"/>
      <color indexed="10"/>
      <name val="Arial"/>
      <family val="2"/>
    </font>
    <font>
      <b/>
      <sz val="18"/>
      <color indexed="52"/>
      <name val="Cambria"/>
      <family val="1"/>
    </font>
    <font>
      <u val="single"/>
      <sz val="10"/>
      <name val="Arial"/>
      <family val="2"/>
    </font>
    <font>
      <i/>
      <sz val="8"/>
      <name val="Arial"/>
      <family val="2"/>
    </font>
    <font>
      <b/>
      <sz val="36"/>
      <color indexed="19"/>
      <name val="Cambria"/>
      <family val="1"/>
    </font>
    <font>
      <b/>
      <sz val="14"/>
      <color indexed="19"/>
      <name val="Cambria"/>
      <family val="1"/>
    </font>
    <font>
      <b/>
      <sz val="10"/>
      <name val="Symbol"/>
      <family val="1"/>
    </font>
    <font>
      <b/>
      <sz val="14"/>
      <color indexed="19"/>
      <name val="Calibri"/>
      <family val="2"/>
    </font>
    <font>
      <b/>
      <sz val="14"/>
      <color indexed="60"/>
      <name val="Calibri"/>
      <family val="2"/>
    </font>
    <font>
      <b/>
      <sz val="10"/>
      <color indexed="10"/>
      <name val="Arial"/>
      <family val="2"/>
    </font>
    <font>
      <sz val="12"/>
      <name val="Wingdings"/>
      <family val="0"/>
    </font>
    <font>
      <b/>
      <sz val="16"/>
      <name val="Arial"/>
      <family val="2"/>
    </font>
    <font>
      <b/>
      <i/>
      <sz val="10"/>
      <name val="Arial"/>
      <family val="2"/>
    </font>
    <font>
      <i/>
      <sz val="10"/>
      <name val="Arial"/>
      <family val="2"/>
    </font>
    <font>
      <sz val="12"/>
      <name val="Courier New"/>
      <family val="3"/>
    </font>
    <font>
      <b/>
      <sz val="20"/>
      <name val="Arial"/>
      <family val="2"/>
    </font>
    <font>
      <sz val="20"/>
      <name val="Arial"/>
      <family val="2"/>
    </font>
    <font>
      <sz val="10"/>
      <name val="Tahoma"/>
      <family val="2"/>
    </font>
    <font>
      <b/>
      <sz val="10"/>
      <name val="Tahoma"/>
      <family val="2"/>
    </font>
    <font>
      <sz val="9"/>
      <name val="Tahoma"/>
      <family val="2"/>
    </font>
    <font>
      <b/>
      <sz val="9"/>
      <name val="Tahoma"/>
      <family val="2"/>
    </font>
    <font>
      <u val="single"/>
      <sz val="10"/>
      <name val="Tahoma"/>
      <family val="2"/>
    </font>
    <font>
      <u val="single"/>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55"/>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52"/>
      <name val="Arial"/>
      <family val="2"/>
    </font>
    <font>
      <b/>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9900"/>
      <name val="Arial"/>
      <family val="2"/>
    </font>
    <font>
      <b/>
      <sz val="10"/>
      <color rgb="FFFF9933"/>
      <name val="Arial"/>
      <family val="2"/>
    </font>
    <font>
      <b/>
      <sz val="8"/>
      <name val="Arial"/>
      <family val="2"/>
    </font>
  </fonts>
  <fills count="7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0"/>
        <bgColor indexed="64"/>
      </patternFill>
    </fill>
    <fill>
      <patternFill patternType="solid">
        <fgColor indexed="24"/>
        <bgColor indexed="64"/>
      </patternFill>
    </fill>
    <fill>
      <patternFill patternType="solid">
        <fgColor indexed="25"/>
        <bgColor indexed="64"/>
      </patternFill>
    </fill>
    <fill>
      <patternFill patternType="solid">
        <fgColor indexed="29"/>
        <bgColor indexed="64"/>
      </patternFill>
    </fill>
    <fill>
      <patternFill patternType="solid">
        <fgColor rgb="FFF2F2F2"/>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indexed="23"/>
        <bgColor indexed="64"/>
      </patternFill>
    </fill>
    <fill>
      <patternFill patternType="solid">
        <fgColor indexed="41"/>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50"/>
        <bgColor indexed="64"/>
      </patternFill>
    </fill>
    <fill>
      <patternFill patternType="solid">
        <fgColor indexed="40"/>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54"/>
        <bgColor indexed="64"/>
      </patternFill>
    </fill>
    <fill>
      <patternFill patternType="solid">
        <fgColor indexed="43"/>
        <bgColor indexed="64"/>
      </patternFill>
    </fill>
    <fill>
      <patternFill patternType="solid">
        <fgColor indexed="31"/>
        <bgColor indexed="64"/>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indexed="34"/>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55"/>
        <bgColor indexed="64"/>
      </patternFill>
    </fill>
    <fill>
      <patternFill patternType="solid">
        <fgColor rgb="FFFFFF99"/>
        <bgColor indexed="64"/>
      </patternFill>
    </fill>
    <fill>
      <patternFill patternType="solid">
        <fgColor rgb="FFFFFFCC"/>
        <bgColor indexed="64"/>
      </patternFill>
    </fill>
    <fill>
      <patternFill patternType="solid">
        <fgColor rgb="FFFFFF66"/>
        <bgColor indexed="64"/>
      </patternFill>
    </fill>
    <fill>
      <patternFill patternType="solid">
        <fgColor rgb="FFFFCC66"/>
        <bgColor indexed="64"/>
      </patternFill>
    </fill>
    <fill>
      <patternFill patternType="solid">
        <fgColor rgb="FFFFCC99"/>
        <bgColor indexed="64"/>
      </patternFill>
    </fill>
    <fill>
      <patternFill patternType="solid">
        <fgColor theme="9" tint="0.3999499976634979"/>
        <bgColor indexed="64"/>
      </patternFill>
    </fill>
    <fill>
      <patternFill patternType="solid">
        <fgColor rgb="FFFFFFCC"/>
        <bgColor indexed="64"/>
      </patternFill>
    </fill>
    <fill>
      <patternFill patternType="solid">
        <fgColor rgb="FF99CC00"/>
        <bgColor indexed="64"/>
      </patternFill>
    </fill>
    <fill>
      <patternFill patternType="solid">
        <fgColor rgb="FFFFFFCC"/>
        <bgColor indexed="64"/>
      </patternFill>
    </fill>
    <fill>
      <patternFill patternType="solid">
        <fgColor rgb="FFFFFFC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rgb="FF00FF00"/>
        <bgColor indexed="64"/>
      </patternFill>
    </fill>
    <fill>
      <patternFill patternType="solid">
        <fgColor rgb="FFFFCC66"/>
        <bgColor indexed="64"/>
      </patternFill>
    </fill>
  </fills>
  <borders count="83">
    <border>
      <left/>
      <right/>
      <top/>
      <bottom/>
      <diagonal/>
    </border>
    <border>
      <left>
        <color indexed="63"/>
      </left>
      <right>
        <color indexed="63"/>
      </right>
      <top>
        <color indexed="63"/>
      </top>
      <bottom style="thin">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medium">
        <color indexed="8"/>
      </top>
      <bottom>
        <color indexed="63"/>
      </bottom>
    </border>
    <border>
      <left style="medium">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right style="thin"/>
      <top style="thin"/>
      <bottom style="thin"/>
    </border>
    <border>
      <left style="thin"/>
      <right>
        <color indexed="63"/>
      </right>
      <top>
        <color indexed="63"/>
      </top>
      <bottom>
        <color indexed="63"/>
      </bottom>
    </border>
    <border>
      <left style="thick"/>
      <right>
        <color indexed="63"/>
      </right>
      <top>
        <color indexed="63"/>
      </top>
      <bottom>
        <color indexed="63"/>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dashed">
        <color indexed="8"/>
      </left>
      <right style="dashed">
        <color indexed="8"/>
      </right>
      <top style="dashed">
        <color indexed="8"/>
      </top>
      <bottom style="dashed">
        <color indexed="8"/>
      </bottom>
    </border>
    <border>
      <left>
        <color indexed="63"/>
      </left>
      <right style="medium">
        <color indexed="8"/>
      </right>
      <top style="medium">
        <color indexed="8"/>
      </top>
      <bottom style="medium">
        <color indexed="8"/>
      </bottom>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medium"/>
      <top style="medium"/>
      <bottom style="thin"/>
    </border>
    <border>
      <left>
        <color indexed="63"/>
      </left>
      <right>
        <color indexed="63"/>
      </right>
      <top style="medium"/>
      <bottom>
        <color indexed="63"/>
      </bottom>
    </border>
    <border>
      <left style="medium">
        <color indexed="8"/>
      </left>
      <right style="medium">
        <color indexed="8"/>
      </right>
      <top style="thin">
        <color indexed="8"/>
      </top>
      <bottom style="medium">
        <color indexed="8"/>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hair">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style="thick"/>
      <top style="medium">
        <color indexed="8"/>
      </top>
      <bottom>
        <color indexed="63"/>
      </bottom>
    </border>
    <border>
      <left>
        <color indexed="63"/>
      </left>
      <right style="thick"/>
      <top>
        <color indexed="63"/>
      </top>
      <bottom>
        <color indexed="63"/>
      </bottom>
    </border>
    <border>
      <left>
        <color indexed="63"/>
      </left>
      <right style="thick"/>
      <top>
        <color indexed="63"/>
      </top>
      <bottom style="medium">
        <color indexed="8"/>
      </bottom>
    </border>
    <border>
      <left style="medium"/>
      <right style="medium"/>
      <top>
        <color indexed="63"/>
      </top>
      <bottom style="thin"/>
    </border>
    <border>
      <left style="thin"/>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0" fillId="27" borderId="1" applyNumberFormat="0" applyAlignment="0" applyProtection="0"/>
    <xf numFmtId="0" fontId="0" fillId="28" borderId="1" applyNumberFormat="0" applyAlignment="0" applyProtection="0"/>
    <xf numFmtId="0" fontId="1" fillId="29" borderId="0" applyNumberFormat="0" applyBorder="0" applyProtection="0">
      <alignment horizontal="center" vertical="center"/>
    </xf>
    <xf numFmtId="0" fontId="2" fillId="30" borderId="0" applyNumberFormat="0" applyBorder="0" applyProtection="0">
      <alignment horizontal="center" vertical="top"/>
    </xf>
    <xf numFmtId="0" fontId="98" fillId="31" borderId="2" applyNumberFormat="0" applyAlignment="0" applyProtection="0"/>
    <xf numFmtId="0" fontId="99" fillId="32" borderId="3" applyNumberFormat="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Protection="0">
      <alignment/>
    </xf>
    <xf numFmtId="42" fontId="0" fillId="0" borderId="0" applyFill="0" applyBorder="0" applyAlignment="0" applyProtection="0"/>
    <xf numFmtId="0" fontId="0" fillId="33" borderId="0" applyNumberFormat="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4" borderId="0" applyNumberFormat="0" applyBorder="0" applyAlignment="0" applyProtection="0"/>
    <xf numFmtId="0" fontId="1" fillId="35" borderId="0" applyNumberFormat="0" applyBorder="0" applyProtection="0">
      <alignment horizontal="center" vertical="center"/>
    </xf>
    <xf numFmtId="3" fontId="3" fillId="35" borderId="4">
      <alignment horizontal="center"/>
      <protection/>
    </xf>
    <xf numFmtId="0" fontId="4" fillId="35" borderId="0" applyNumberFormat="0" applyBorder="0" applyProtection="0">
      <alignment vertical="top"/>
    </xf>
    <xf numFmtId="0" fontId="3" fillId="36" borderId="0" applyNumberFormat="0" applyProtection="0">
      <alignment horizontal="left"/>
    </xf>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9" fillId="0" borderId="0" applyNumberFormat="0" applyBorder="0" applyProtection="0">
      <alignment horizontal="center" vertical="center"/>
    </xf>
    <xf numFmtId="0" fontId="106" fillId="37" borderId="2" applyNumberFormat="0" applyAlignment="0" applyProtection="0"/>
    <xf numFmtId="0" fontId="0" fillId="0" borderId="0" applyNumberFormat="0" applyFill="0" applyBorder="0" applyAlignment="0" applyProtection="0"/>
    <xf numFmtId="0" fontId="107" fillId="0" borderId="8" applyNumberFormat="0" applyFill="0" applyAlignment="0" applyProtection="0"/>
    <xf numFmtId="0" fontId="108" fillId="38" borderId="0" applyNumberFormat="0" applyBorder="0" applyAlignment="0" applyProtection="0"/>
    <xf numFmtId="0" fontId="95" fillId="0" borderId="0">
      <alignment/>
      <protection/>
    </xf>
    <xf numFmtId="0" fontId="0" fillId="39" borderId="9" applyNumberFormat="0" applyFont="0" applyAlignment="0" applyProtection="0"/>
    <xf numFmtId="0" fontId="109" fillId="31" borderId="10" applyNumberFormat="0" applyAlignment="0" applyProtection="0"/>
    <xf numFmtId="9" fontId="0" fillId="0" borderId="0" applyFill="0" applyBorder="0" applyProtection="0">
      <alignment/>
    </xf>
    <xf numFmtId="9" fontId="0" fillId="0" borderId="0" applyFill="0" applyBorder="0" applyProtection="0">
      <alignment/>
    </xf>
    <xf numFmtId="0" fontId="0" fillId="40" borderId="0" applyNumberFormat="0" applyBorder="0" applyAlignment="0">
      <protection/>
    </xf>
    <xf numFmtId="0" fontId="110" fillId="0" borderId="0" applyNumberFormat="0" applyFill="0" applyBorder="0" applyAlignment="0" applyProtection="0"/>
    <xf numFmtId="0" fontId="111" fillId="0" borderId="11" applyNumberFormat="0" applyFill="0" applyAlignment="0" applyProtection="0"/>
    <xf numFmtId="0" fontId="112" fillId="0" borderId="0" applyNumberFormat="0" applyFill="0" applyBorder="0" applyAlignment="0" applyProtection="0"/>
    <xf numFmtId="0" fontId="1" fillId="41" borderId="0" applyNumberFormat="0" applyBorder="0" applyProtection="0">
      <alignment horizontal="center" vertical="center"/>
    </xf>
    <xf numFmtId="0" fontId="0" fillId="42" borderId="0" applyNumberFormat="0" applyBorder="0" applyAlignment="0" applyProtection="0"/>
    <xf numFmtId="3" fontId="3" fillId="43" borderId="4">
      <alignment horizontal="center"/>
      <protection/>
    </xf>
    <xf numFmtId="0" fontId="4" fillId="41" borderId="0" applyNumberFormat="0" applyBorder="0" applyProtection="0">
      <alignment vertical="top"/>
    </xf>
  </cellStyleXfs>
  <cellXfs count="1294">
    <xf numFmtId="0" fontId="0" fillId="0" borderId="0" xfId="0" applyAlignment="1">
      <alignment/>
    </xf>
    <xf numFmtId="0" fontId="0" fillId="0" borderId="0" xfId="0" applyAlignment="1">
      <alignment horizontal="right"/>
    </xf>
    <xf numFmtId="0" fontId="4" fillId="0" borderId="0" xfId="0" applyFont="1" applyAlignment="1">
      <alignment/>
    </xf>
    <xf numFmtId="0" fontId="0" fillId="0" borderId="0" xfId="0" applyFont="1" applyAlignment="1">
      <alignment/>
    </xf>
    <xf numFmtId="0" fontId="5" fillId="0" borderId="0" xfId="0" applyFont="1" applyAlignment="1">
      <alignment/>
    </xf>
    <xf numFmtId="0" fontId="0" fillId="43" borderId="12" xfId="0" applyFill="1" applyBorder="1" applyAlignment="1">
      <alignment/>
    </xf>
    <xf numFmtId="0" fontId="0" fillId="43" borderId="13" xfId="0" applyFill="1" applyBorder="1" applyAlignment="1">
      <alignment/>
    </xf>
    <xf numFmtId="0" fontId="0" fillId="43" borderId="13" xfId="0" applyFill="1" applyBorder="1" applyAlignment="1">
      <alignment horizontal="right"/>
    </xf>
    <xf numFmtId="0" fontId="0" fillId="43" borderId="14" xfId="0" applyFill="1" applyBorder="1" applyAlignment="1">
      <alignment/>
    </xf>
    <xf numFmtId="0" fontId="0" fillId="43" borderId="15" xfId="0" applyFill="1" applyBorder="1" applyAlignment="1">
      <alignment/>
    </xf>
    <xf numFmtId="0" fontId="0" fillId="43" borderId="0" xfId="0" applyFill="1" applyBorder="1" applyAlignment="1">
      <alignment/>
    </xf>
    <xf numFmtId="0" fontId="0" fillId="43" borderId="0" xfId="0" applyFill="1" applyAlignment="1">
      <alignment/>
    </xf>
    <xf numFmtId="0" fontId="0" fillId="0" borderId="12" xfId="0" applyFont="1" applyBorder="1" applyAlignment="1">
      <alignment/>
    </xf>
    <xf numFmtId="0" fontId="0" fillId="0" borderId="13" xfId="0" applyFont="1" applyBorder="1" applyAlignment="1">
      <alignment horizontal="right"/>
    </xf>
    <xf numFmtId="0" fontId="0" fillId="0" borderId="13" xfId="0" applyFont="1" applyBorder="1" applyAlignment="1">
      <alignment/>
    </xf>
    <xf numFmtId="0" fontId="0" fillId="0" borderId="14" xfId="0" applyFont="1" applyBorder="1" applyAlignment="1">
      <alignment/>
    </xf>
    <xf numFmtId="0" fontId="0" fillId="43" borderId="16" xfId="0" applyFill="1" applyBorder="1" applyAlignment="1">
      <alignment/>
    </xf>
    <xf numFmtId="0" fontId="6" fillId="0" borderId="0" xfId="0" applyFont="1" applyAlignment="1">
      <alignment/>
    </xf>
    <xf numFmtId="0" fontId="7" fillId="0" borderId="0" xfId="0" applyFont="1" applyAlignment="1">
      <alignment/>
    </xf>
    <xf numFmtId="0" fontId="0" fillId="0" borderId="15"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16" xfId="0" applyFont="1" applyBorder="1" applyAlignment="1">
      <alignment/>
    </xf>
    <xf numFmtId="0" fontId="8" fillId="44" borderId="17" xfId="62" applyNumberFormat="1" applyFont="1" applyFill="1" applyBorder="1" applyProtection="1">
      <alignment horizontal="center" vertical="center"/>
      <protection/>
    </xf>
    <xf numFmtId="0" fontId="0" fillId="0" borderId="16" xfId="0" applyFont="1" applyBorder="1" applyAlignment="1">
      <alignment horizontal="right"/>
    </xf>
    <xf numFmtId="0" fontId="0" fillId="43" borderId="15" xfId="0" applyFont="1" applyFill="1" applyBorder="1" applyAlignment="1">
      <alignment horizontal="right"/>
    </xf>
    <xf numFmtId="0" fontId="0" fillId="43" borderId="0" xfId="0" applyFont="1" applyFill="1" applyBorder="1" applyAlignment="1">
      <alignment horizontal="right"/>
    </xf>
    <xf numFmtId="0" fontId="0" fillId="43" borderId="16" xfId="0" applyFont="1" applyFill="1" applyBorder="1" applyAlignment="1">
      <alignment/>
    </xf>
    <xf numFmtId="0" fontId="11" fillId="0" borderId="0" xfId="0" applyFont="1" applyAlignment="1">
      <alignment/>
    </xf>
    <xf numFmtId="0" fontId="0" fillId="43" borderId="15" xfId="0" applyFont="1" applyFill="1" applyBorder="1" applyAlignment="1">
      <alignment horizontal="center"/>
    </xf>
    <xf numFmtId="0" fontId="3" fillId="43" borderId="0" xfId="0" applyFont="1" applyFill="1" applyBorder="1" applyAlignment="1">
      <alignment horizontal="right"/>
    </xf>
    <xf numFmtId="0" fontId="0" fillId="43" borderId="0" xfId="0" applyFont="1" applyFill="1" applyBorder="1" applyAlignment="1">
      <alignment horizontal="left"/>
    </xf>
    <xf numFmtId="0" fontId="7" fillId="45" borderId="16" xfId="0" applyFont="1" applyFill="1" applyBorder="1" applyAlignment="1" applyProtection="1">
      <alignment/>
      <protection locked="0"/>
    </xf>
    <xf numFmtId="0" fontId="3" fillId="45" borderId="16" xfId="0" applyFont="1" applyFill="1" applyBorder="1" applyAlignment="1" applyProtection="1">
      <alignment/>
      <protection locked="0"/>
    </xf>
    <xf numFmtId="0" fontId="3" fillId="0" borderId="0" xfId="0" applyFont="1" applyAlignment="1">
      <alignment/>
    </xf>
    <xf numFmtId="0" fontId="0" fillId="43" borderId="0" xfId="0" applyFont="1" applyFill="1" applyAlignment="1">
      <alignment horizontal="right"/>
    </xf>
    <xf numFmtId="0" fontId="0" fillId="43" borderId="0" xfId="0" applyFont="1" applyFill="1" applyAlignment="1">
      <alignment/>
    </xf>
    <xf numFmtId="0" fontId="0" fillId="43" borderId="18" xfId="0" applyFill="1" applyBorder="1" applyAlignment="1">
      <alignment/>
    </xf>
    <xf numFmtId="0" fontId="0" fillId="43" borderId="1" xfId="0" applyFill="1" applyBorder="1" applyAlignment="1">
      <alignment/>
    </xf>
    <xf numFmtId="0" fontId="0" fillId="43" borderId="1" xfId="0" applyFill="1" applyBorder="1" applyAlignment="1">
      <alignment horizontal="right"/>
    </xf>
    <xf numFmtId="0" fontId="0" fillId="43" borderId="19" xfId="0" applyFill="1" applyBorder="1" applyAlignment="1">
      <alignment/>
    </xf>
    <xf numFmtId="0" fontId="0" fillId="0" borderId="0" xfId="0" applyAlignment="1" applyProtection="1">
      <alignment/>
      <protection/>
    </xf>
    <xf numFmtId="0" fontId="15" fillId="0" borderId="0" xfId="0" applyFont="1" applyAlignment="1" applyProtection="1">
      <alignment/>
      <protection/>
    </xf>
    <xf numFmtId="0" fontId="0" fillId="0" borderId="0" xfId="0" applyFill="1" applyAlignment="1" applyProtection="1">
      <alignment/>
      <protection/>
    </xf>
    <xf numFmtId="0" fontId="15" fillId="0" borderId="0" xfId="0" applyFont="1" applyFill="1" applyAlignment="1" applyProtection="1">
      <alignment/>
      <protection/>
    </xf>
    <xf numFmtId="0" fontId="0" fillId="43" borderId="12" xfId="0" applyFill="1" applyBorder="1" applyAlignment="1" applyProtection="1">
      <alignment/>
      <protection/>
    </xf>
    <xf numFmtId="0" fontId="15" fillId="43" borderId="13" xfId="0" applyFont="1" applyFill="1" applyBorder="1" applyAlignment="1" applyProtection="1">
      <alignment/>
      <protection/>
    </xf>
    <xf numFmtId="0" fontId="0" fillId="43" borderId="13" xfId="0" applyFill="1" applyBorder="1" applyAlignment="1" applyProtection="1">
      <alignment/>
      <protection/>
    </xf>
    <xf numFmtId="0" fontId="0" fillId="43" borderId="14" xfId="0" applyFill="1" applyBorder="1" applyAlignment="1" applyProtection="1">
      <alignment/>
      <protection/>
    </xf>
    <xf numFmtId="0" fontId="0" fillId="43" borderId="15" xfId="0" applyFill="1" applyBorder="1" applyAlignment="1" applyProtection="1">
      <alignment/>
      <protection/>
    </xf>
    <xf numFmtId="0" fontId="15" fillId="43" borderId="0" xfId="0" applyFont="1" applyFill="1" applyBorder="1" applyAlignment="1" applyProtection="1">
      <alignment/>
      <protection/>
    </xf>
    <xf numFmtId="0" fontId="0" fillId="43" borderId="0" xfId="0" applyFill="1" applyBorder="1" applyAlignment="1" applyProtection="1">
      <alignment/>
      <protection/>
    </xf>
    <xf numFmtId="0" fontId="0" fillId="43" borderId="16" xfId="0" applyFill="1" applyBorder="1" applyAlignment="1" applyProtection="1">
      <alignment/>
      <protection/>
    </xf>
    <xf numFmtId="0" fontId="3" fillId="43" borderId="13" xfId="0" applyFont="1" applyFill="1" applyBorder="1" applyAlignment="1" applyProtection="1">
      <alignment wrapText="1"/>
      <protection/>
    </xf>
    <xf numFmtId="0" fontId="18" fillId="33" borderId="20" xfId="0" applyFont="1" applyFill="1" applyBorder="1" applyAlignment="1" applyProtection="1">
      <alignment vertical="top" wrapText="1"/>
      <protection/>
    </xf>
    <xf numFmtId="0" fontId="19" fillId="33" borderId="21" xfId="0" applyFont="1" applyFill="1" applyBorder="1" applyAlignment="1" applyProtection="1">
      <alignment horizontal="left" vertical="top" wrapText="1"/>
      <protection/>
    </xf>
    <xf numFmtId="0" fontId="8" fillId="46" borderId="17" xfId="62" applyNumberFormat="1" applyFont="1" applyFill="1" applyBorder="1" applyProtection="1">
      <alignment horizontal="center" vertical="center"/>
      <protection/>
    </xf>
    <xf numFmtId="0" fontId="15" fillId="43" borderId="22" xfId="62" applyNumberFormat="1" applyFont="1" applyFill="1" applyBorder="1" applyAlignment="1" applyProtection="1">
      <alignment horizontal="center" vertical="center"/>
      <protection/>
    </xf>
    <xf numFmtId="0" fontId="18" fillId="33" borderId="23" xfId="0" applyFont="1" applyFill="1" applyBorder="1" applyAlignment="1" applyProtection="1">
      <alignment vertical="top" wrapText="1"/>
      <protection/>
    </xf>
    <xf numFmtId="0" fontId="18" fillId="43" borderId="0" xfId="0" applyFont="1" applyFill="1" applyBorder="1" applyAlignment="1" applyProtection="1">
      <alignment vertical="top" wrapText="1"/>
      <protection/>
    </xf>
    <xf numFmtId="0" fontId="20" fillId="43" borderId="0" xfId="0" applyFont="1" applyFill="1" applyBorder="1" applyAlignment="1" applyProtection="1">
      <alignment horizontal="left" vertical="top" wrapText="1"/>
      <protection/>
    </xf>
    <xf numFmtId="0" fontId="18" fillId="47" borderId="20" xfId="0" applyFont="1" applyFill="1" applyBorder="1" applyAlignment="1" applyProtection="1">
      <alignment vertical="top" wrapText="1"/>
      <protection/>
    </xf>
    <xf numFmtId="0" fontId="18" fillId="47" borderId="23" xfId="0" applyFont="1" applyFill="1" applyBorder="1" applyAlignment="1" applyProtection="1">
      <alignment vertical="top" wrapText="1"/>
      <protection/>
    </xf>
    <xf numFmtId="0" fontId="19" fillId="47" borderId="24" xfId="0" applyFont="1" applyFill="1" applyBorder="1" applyAlignment="1" applyProtection="1">
      <alignment horizontal="left" vertical="top" wrapText="1"/>
      <protection/>
    </xf>
    <xf numFmtId="0" fontId="18" fillId="48" borderId="20" xfId="0" applyFont="1" applyFill="1" applyBorder="1" applyAlignment="1" applyProtection="1">
      <alignment vertical="top" wrapText="1"/>
      <protection/>
    </xf>
    <xf numFmtId="0" fontId="8" fillId="43" borderId="22" xfId="62" applyNumberFormat="1" applyFont="1" applyFill="1" applyBorder="1" applyProtection="1">
      <alignment horizontal="center" vertical="center"/>
      <protection/>
    </xf>
    <xf numFmtId="0" fontId="18" fillId="48" borderId="23" xfId="0" applyFont="1" applyFill="1" applyBorder="1" applyAlignment="1" applyProtection="1">
      <alignment vertical="top" wrapText="1"/>
      <protection/>
    </xf>
    <xf numFmtId="0" fontId="18" fillId="49" borderId="20" xfId="0" applyFont="1" applyFill="1" applyBorder="1" applyAlignment="1" applyProtection="1">
      <alignment vertical="top" wrapText="1"/>
      <protection/>
    </xf>
    <xf numFmtId="0" fontId="3" fillId="49" borderId="21" xfId="0" applyFont="1" applyFill="1" applyBorder="1" applyAlignment="1" applyProtection="1">
      <alignment horizontal="left" vertical="top" wrapText="1"/>
      <protection/>
    </xf>
    <xf numFmtId="0" fontId="18" fillId="49" borderId="23" xfId="0" applyFont="1" applyFill="1" applyBorder="1" applyAlignment="1" applyProtection="1">
      <alignment vertical="top" wrapText="1"/>
      <protection/>
    </xf>
    <xf numFmtId="0" fontId="3" fillId="49" borderId="24" xfId="0" applyFont="1" applyFill="1" applyBorder="1" applyAlignment="1" applyProtection="1">
      <alignment horizontal="left" vertical="top" wrapText="1"/>
      <protection/>
    </xf>
    <xf numFmtId="0" fontId="0" fillId="43" borderId="0" xfId="0" applyFill="1" applyBorder="1" applyAlignment="1" applyProtection="1">
      <alignment wrapText="1"/>
      <protection/>
    </xf>
    <xf numFmtId="0" fontId="0" fillId="43" borderId="18" xfId="0" applyFill="1" applyBorder="1" applyAlignment="1" applyProtection="1">
      <alignment/>
      <protection/>
    </xf>
    <xf numFmtId="0" fontId="15" fillId="43" borderId="1" xfId="0" applyFont="1" applyFill="1" applyBorder="1" applyAlignment="1" applyProtection="1">
      <alignment/>
      <protection/>
    </xf>
    <xf numFmtId="0" fontId="0" fillId="43" borderId="1" xfId="0" applyFill="1" applyBorder="1" applyAlignment="1" applyProtection="1">
      <alignment/>
      <protection/>
    </xf>
    <xf numFmtId="0" fontId="0" fillId="43" borderId="19" xfId="0" applyFill="1" applyBorder="1" applyAlignment="1" applyProtection="1">
      <alignment/>
      <protection/>
    </xf>
    <xf numFmtId="0" fontId="0" fillId="0" borderId="0" xfId="0" applyFill="1" applyBorder="1" applyAlignment="1" applyProtection="1">
      <alignment/>
      <protection/>
    </xf>
    <xf numFmtId="9" fontId="0" fillId="0" borderId="0" xfId="70" applyFont="1" applyFill="1" applyBorder="1" applyAlignment="1" applyProtection="1">
      <alignment/>
      <protection/>
    </xf>
    <xf numFmtId="0" fontId="0" fillId="0" borderId="0" xfId="0" applyFill="1" applyBorder="1" applyAlignment="1" applyProtection="1">
      <alignment horizontal="center"/>
      <protection/>
    </xf>
    <xf numFmtId="0" fontId="3" fillId="0" borderId="0" xfId="0" applyFont="1" applyFill="1" applyBorder="1" applyAlignment="1" applyProtection="1">
      <alignment horizontal="left"/>
      <protection/>
    </xf>
    <xf numFmtId="0" fontId="0" fillId="0" borderId="0" xfId="0" applyFont="1" applyAlignment="1" applyProtection="1">
      <alignment/>
      <protection/>
    </xf>
    <xf numFmtId="164" fontId="0" fillId="0" borderId="0" xfId="0" applyNumberFormat="1" applyFont="1" applyFill="1" applyAlignment="1" applyProtection="1">
      <alignment/>
      <protection/>
    </xf>
    <xf numFmtId="0" fontId="0" fillId="0" borderId="0" xfId="0" applyFont="1" applyFill="1" applyBorder="1" applyAlignment="1" applyProtection="1">
      <alignment horizontal="left"/>
      <protection/>
    </xf>
    <xf numFmtId="0" fontId="3" fillId="48" borderId="25"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26" xfId="0" applyBorder="1" applyAlignment="1" applyProtection="1">
      <alignment horizontal="center" vertical="center"/>
      <protection/>
    </xf>
    <xf numFmtId="0" fontId="3" fillId="43" borderId="12" xfId="0" applyFont="1" applyFill="1" applyBorder="1" applyAlignment="1" applyProtection="1">
      <alignment/>
      <protection/>
    </xf>
    <xf numFmtId="0" fontId="3" fillId="48" borderId="12" xfId="0" applyFont="1" applyFill="1" applyBorder="1" applyAlignment="1" applyProtection="1">
      <alignment/>
      <protection/>
    </xf>
    <xf numFmtId="0" fontId="0" fillId="48" borderId="13" xfId="0" applyFont="1" applyFill="1" applyBorder="1" applyAlignment="1" applyProtection="1">
      <alignment/>
      <protection/>
    </xf>
    <xf numFmtId="0" fontId="0" fillId="46" borderId="14" xfId="0" applyFont="1" applyFill="1" applyBorder="1" applyAlignment="1" applyProtection="1">
      <alignment horizontal="center"/>
      <protection locked="0"/>
    </xf>
    <xf numFmtId="0" fontId="0" fillId="43" borderId="27" xfId="0" applyFill="1" applyBorder="1" applyAlignment="1" applyProtection="1">
      <alignment/>
      <protection/>
    </xf>
    <xf numFmtId="0" fontId="0" fillId="0" borderId="25" xfId="0" applyBorder="1" applyAlignment="1" applyProtection="1">
      <alignment/>
      <protection/>
    </xf>
    <xf numFmtId="0" fontId="3" fillId="43" borderId="15" xfId="0" applyFont="1" applyFill="1" applyBorder="1" applyAlignment="1" applyProtection="1">
      <alignment/>
      <protection/>
    </xf>
    <xf numFmtId="0" fontId="3" fillId="48" borderId="15" xfId="0" applyFont="1" applyFill="1" applyBorder="1" applyAlignment="1" applyProtection="1">
      <alignment/>
      <protection/>
    </xf>
    <xf numFmtId="0" fontId="0" fillId="48" borderId="0" xfId="0" applyFont="1" applyFill="1" applyBorder="1" applyAlignment="1" applyProtection="1">
      <alignment/>
      <protection/>
    </xf>
    <xf numFmtId="164" fontId="0" fillId="46" borderId="16" xfId="0" applyNumberFormat="1" applyFill="1" applyBorder="1" applyAlignment="1" applyProtection="1">
      <alignment horizontal="center"/>
      <protection locked="0"/>
    </xf>
    <xf numFmtId="164" fontId="0" fillId="43" borderId="25" xfId="0" applyNumberFormat="1" applyFill="1" applyBorder="1" applyAlignment="1" applyProtection="1">
      <alignment/>
      <protection/>
    </xf>
    <xf numFmtId="164" fontId="3" fillId="50" borderId="25" xfId="0" applyNumberFormat="1" applyFont="1" applyFill="1" applyBorder="1" applyAlignment="1" applyProtection="1">
      <alignment horizontal="center" vertical="center"/>
      <protection/>
    </xf>
    <xf numFmtId="0" fontId="3" fillId="50" borderId="26" xfId="0" applyFont="1" applyFill="1" applyBorder="1" applyAlignment="1" applyProtection="1">
      <alignment horizontal="center" vertical="center"/>
      <protection/>
    </xf>
    <xf numFmtId="0" fontId="3" fillId="48" borderId="18" xfId="0" applyFont="1" applyFill="1" applyBorder="1" applyAlignment="1" applyProtection="1">
      <alignment/>
      <protection/>
    </xf>
    <xf numFmtId="0" fontId="0" fillId="48" borderId="1" xfId="0" applyFont="1" applyFill="1" applyBorder="1" applyAlignment="1" applyProtection="1">
      <alignment/>
      <protection/>
    </xf>
    <xf numFmtId="0" fontId="3" fillId="43" borderId="0" xfId="0" applyFont="1" applyFill="1" applyBorder="1" applyAlignment="1" applyProtection="1">
      <alignment/>
      <protection/>
    </xf>
    <xf numFmtId="0" fontId="0" fillId="43" borderId="0" xfId="0" applyFont="1" applyFill="1" applyBorder="1" applyAlignment="1" applyProtection="1">
      <alignment/>
      <protection/>
    </xf>
    <xf numFmtId="0" fontId="3" fillId="48" borderId="12" xfId="0" applyFont="1" applyFill="1" applyBorder="1" applyAlignment="1" applyProtection="1">
      <alignment horizontal="left"/>
      <protection/>
    </xf>
    <xf numFmtId="0" fontId="3" fillId="48" borderId="15" xfId="0" applyFont="1" applyFill="1" applyBorder="1" applyAlignment="1" applyProtection="1">
      <alignment horizontal="left"/>
      <protection/>
    </xf>
    <xf numFmtId="0" fontId="0" fillId="46" borderId="16" xfId="0" applyFont="1" applyFill="1" applyBorder="1" applyAlignment="1" applyProtection="1">
      <alignment horizontal="center"/>
      <protection locked="0"/>
    </xf>
    <xf numFmtId="0" fontId="3" fillId="48" borderId="18" xfId="0" applyFont="1" applyFill="1" applyBorder="1" applyAlignment="1" applyProtection="1">
      <alignment horizontal="left"/>
      <protection/>
    </xf>
    <xf numFmtId="164" fontId="0" fillId="46" borderId="19" xfId="0" applyNumberFormat="1" applyFill="1" applyBorder="1" applyAlignment="1" applyProtection="1">
      <alignment horizontal="center"/>
      <protection locked="0"/>
    </xf>
    <xf numFmtId="165" fontId="0" fillId="0" borderId="0" xfId="0" applyNumberFormat="1" applyAlignment="1" applyProtection="1">
      <alignment/>
      <protection/>
    </xf>
    <xf numFmtId="0" fontId="3" fillId="43" borderId="0" xfId="0" applyFont="1" applyFill="1" applyBorder="1" applyAlignment="1" applyProtection="1">
      <alignment horizontal="left"/>
      <protection/>
    </xf>
    <xf numFmtId="0" fontId="0" fillId="46" borderId="14" xfId="0" applyFill="1" applyBorder="1" applyAlignment="1" applyProtection="1">
      <alignment horizontal="center"/>
      <protection locked="0"/>
    </xf>
    <xf numFmtId="0" fontId="0" fillId="48" borderId="15" xfId="0" applyFont="1" applyFill="1" applyBorder="1" applyAlignment="1" applyProtection="1">
      <alignment/>
      <protection/>
    </xf>
    <xf numFmtId="0" fontId="0" fillId="46" borderId="16" xfId="0" applyFill="1" applyBorder="1" applyAlignment="1" applyProtection="1">
      <alignment horizontal="center"/>
      <protection locked="0"/>
    </xf>
    <xf numFmtId="0" fontId="0" fillId="48" borderId="18" xfId="0" applyFont="1" applyFill="1" applyBorder="1" applyAlignment="1" applyProtection="1">
      <alignment/>
      <protection/>
    </xf>
    <xf numFmtId="164" fontId="0" fillId="43" borderId="0" xfId="0" applyNumberFormat="1" applyFill="1" applyBorder="1" applyAlignment="1" applyProtection="1">
      <alignment horizontal="center"/>
      <protection/>
    </xf>
    <xf numFmtId="0" fontId="0" fillId="46" borderId="13" xfId="0" applyFont="1" applyFill="1" applyBorder="1" applyAlignment="1" applyProtection="1">
      <alignment/>
      <protection locked="0"/>
    </xf>
    <xf numFmtId="164" fontId="0" fillId="46" borderId="14" xfId="0" applyNumberFormat="1" applyFill="1" applyBorder="1" applyAlignment="1" applyProtection="1">
      <alignment horizontal="center"/>
      <protection locked="0"/>
    </xf>
    <xf numFmtId="0" fontId="0" fillId="46" borderId="1" xfId="0" applyFont="1" applyFill="1" applyBorder="1" applyAlignment="1" applyProtection="1">
      <alignment/>
      <protection locked="0"/>
    </xf>
    <xf numFmtId="0" fontId="0" fillId="43" borderId="0" xfId="0" applyFont="1" applyFill="1" applyBorder="1" applyAlignment="1" applyProtection="1">
      <alignment horizontal="center"/>
      <protection/>
    </xf>
    <xf numFmtId="3" fontId="0" fillId="46" borderId="14" xfId="0" applyNumberFormat="1" applyFill="1" applyBorder="1" applyAlignment="1" applyProtection="1">
      <alignment horizontal="center"/>
      <protection locked="0"/>
    </xf>
    <xf numFmtId="3" fontId="0" fillId="46" borderId="19" xfId="0" applyNumberFormat="1" applyFill="1" applyBorder="1" applyAlignment="1" applyProtection="1">
      <alignment horizontal="center"/>
      <protection locked="0"/>
    </xf>
    <xf numFmtId="1" fontId="0" fillId="43" borderId="16" xfId="0" applyNumberFormat="1" applyFont="1" applyFill="1" applyBorder="1" applyAlignment="1" applyProtection="1">
      <alignment horizontal="center"/>
      <protection/>
    </xf>
    <xf numFmtId="166" fontId="0" fillId="46" borderId="14" xfId="0" applyNumberFormat="1" applyFont="1" applyFill="1" applyBorder="1" applyAlignment="1" applyProtection="1">
      <alignment horizontal="center"/>
      <protection locked="0"/>
    </xf>
    <xf numFmtId="0" fontId="0" fillId="48" borderId="18" xfId="0" applyFill="1" applyBorder="1" applyAlignment="1" applyProtection="1">
      <alignment/>
      <protection/>
    </xf>
    <xf numFmtId="166" fontId="0" fillId="46" borderId="19" xfId="0" applyNumberFormat="1" applyFont="1" applyFill="1" applyBorder="1" applyAlignment="1" applyProtection="1">
      <alignment horizontal="center"/>
      <protection locked="0"/>
    </xf>
    <xf numFmtId="1" fontId="0" fillId="43" borderId="0" xfId="0" applyNumberFormat="1" applyFont="1" applyFill="1" applyBorder="1" applyAlignment="1" applyProtection="1">
      <alignment horizontal="center"/>
      <protection/>
    </xf>
    <xf numFmtId="0" fontId="3" fillId="43" borderId="28" xfId="0" applyFont="1" applyFill="1" applyBorder="1" applyAlignment="1" applyProtection="1">
      <alignment/>
      <protection/>
    </xf>
    <xf numFmtId="0" fontId="0" fillId="43" borderId="15" xfId="0" applyFont="1" applyFill="1" applyBorder="1" applyAlignment="1" applyProtection="1">
      <alignment/>
      <protection/>
    </xf>
    <xf numFmtId="0" fontId="0" fillId="43" borderId="29" xfId="0" applyFill="1" applyBorder="1" applyAlignment="1" applyProtection="1">
      <alignment/>
      <protection/>
    </xf>
    <xf numFmtId="164" fontId="0" fillId="46" borderId="14" xfId="0" applyNumberFormat="1" applyFont="1" applyFill="1" applyBorder="1" applyAlignment="1" applyProtection="1">
      <alignment horizontal="center"/>
      <protection locked="0"/>
    </xf>
    <xf numFmtId="0" fontId="0" fillId="48" borderId="15" xfId="0" applyFill="1" applyBorder="1" applyAlignment="1" applyProtection="1">
      <alignment/>
      <protection/>
    </xf>
    <xf numFmtId="164" fontId="0" fillId="46" borderId="16" xfId="0" applyNumberFormat="1" applyFont="1" applyFill="1" applyBorder="1" applyAlignment="1" applyProtection="1">
      <alignment horizontal="center"/>
      <protection locked="0"/>
    </xf>
    <xf numFmtId="9" fontId="0" fillId="46" borderId="16" xfId="0" applyNumberFormat="1" applyFill="1" applyBorder="1" applyAlignment="1" applyProtection="1">
      <alignment horizontal="center"/>
      <protection locked="0"/>
    </xf>
    <xf numFmtId="9" fontId="0" fillId="46" borderId="16" xfId="48" applyNumberFormat="1" applyFont="1" applyFill="1" applyBorder="1" applyAlignment="1" applyProtection="1">
      <alignment horizontal="center"/>
      <protection locked="0"/>
    </xf>
    <xf numFmtId="0" fontId="0" fillId="43" borderId="26" xfId="0" applyFill="1" applyBorder="1" applyAlignment="1" applyProtection="1">
      <alignment/>
      <protection/>
    </xf>
    <xf numFmtId="9" fontId="0" fillId="46" borderId="19" xfId="0" applyNumberFormat="1" applyFill="1" applyBorder="1" applyAlignment="1" applyProtection="1">
      <alignment horizontal="center"/>
      <protection locked="0"/>
    </xf>
    <xf numFmtId="0" fontId="0" fillId="51" borderId="30" xfId="0" applyFill="1" applyBorder="1" applyAlignment="1" applyProtection="1">
      <alignment/>
      <protection/>
    </xf>
    <xf numFmtId="0" fontId="24" fillId="0" borderId="0" xfId="0" applyFont="1" applyAlignment="1" applyProtection="1">
      <alignment horizontal="center"/>
      <protection/>
    </xf>
    <xf numFmtId="0" fontId="0" fillId="0" borderId="0" xfId="0" applyFont="1" applyFill="1" applyBorder="1" applyAlignment="1" applyProtection="1">
      <alignment/>
      <protection/>
    </xf>
    <xf numFmtId="164" fontId="0" fillId="0" borderId="0" xfId="0" applyNumberFormat="1" applyAlignment="1" applyProtection="1">
      <alignment horizontal="center"/>
      <protection/>
    </xf>
    <xf numFmtId="0" fontId="0" fillId="0" borderId="0" xfId="0" applyAlignment="1" applyProtection="1">
      <alignment horizontal="center"/>
      <protection/>
    </xf>
    <xf numFmtId="164" fontId="3" fillId="48" borderId="25" xfId="0" applyNumberFormat="1" applyFont="1" applyFill="1" applyBorder="1" applyAlignment="1" applyProtection="1">
      <alignment horizontal="center"/>
      <protection/>
    </xf>
    <xf numFmtId="0" fontId="3" fillId="48" borderId="25" xfId="0" applyFont="1" applyFill="1" applyBorder="1" applyAlignment="1" applyProtection="1">
      <alignment horizontal="center"/>
      <protection/>
    </xf>
    <xf numFmtId="0" fontId="0" fillId="43" borderId="31" xfId="0" applyFill="1" applyBorder="1" applyAlignment="1" applyProtection="1">
      <alignment/>
      <protection/>
    </xf>
    <xf numFmtId="0" fontId="3" fillId="48" borderId="29" xfId="0" applyFont="1" applyFill="1" applyBorder="1" applyAlignment="1" applyProtection="1">
      <alignment horizontal="center"/>
      <protection/>
    </xf>
    <xf numFmtId="0" fontId="3" fillId="48" borderId="4" xfId="0" applyFont="1" applyFill="1" applyBorder="1" applyAlignment="1" applyProtection="1">
      <alignment horizontal="center"/>
      <protection/>
    </xf>
    <xf numFmtId="0" fontId="0" fillId="48" borderId="27" xfId="0" applyFill="1" applyBorder="1" applyAlignment="1" applyProtection="1">
      <alignment/>
      <protection/>
    </xf>
    <xf numFmtId="10" fontId="0" fillId="46" borderId="14" xfId="0" applyNumberFormat="1" applyFill="1" applyBorder="1" applyAlignment="1" applyProtection="1">
      <alignment horizontal="center"/>
      <protection locked="0"/>
    </xf>
    <xf numFmtId="164" fontId="0" fillId="0" borderId="25" xfId="0" applyNumberFormat="1" applyBorder="1" applyAlignment="1" applyProtection="1">
      <alignment horizontal="center"/>
      <protection/>
    </xf>
    <xf numFmtId="164" fontId="0" fillId="46" borderId="0" xfId="0" applyNumberFormat="1" applyFill="1" applyBorder="1" applyAlignment="1" applyProtection="1">
      <alignment horizontal="center"/>
      <protection locked="0"/>
    </xf>
    <xf numFmtId="10" fontId="0" fillId="46" borderId="16" xfId="0" applyNumberFormat="1" applyFill="1" applyBorder="1" applyAlignment="1" applyProtection="1">
      <alignment horizontal="center"/>
      <protection locked="0"/>
    </xf>
    <xf numFmtId="0" fontId="0" fillId="48" borderId="29" xfId="0" applyFill="1" applyBorder="1" applyAlignment="1" applyProtection="1">
      <alignment/>
      <protection/>
    </xf>
    <xf numFmtId="0" fontId="3" fillId="48" borderId="29" xfId="0" applyFont="1" applyFill="1" applyBorder="1" applyAlignment="1" applyProtection="1">
      <alignment horizontal="right" vertical="center"/>
      <protection/>
    </xf>
    <xf numFmtId="164" fontId="0" fillId="43" borderId="0" xfId="0" applyNumberFormat="1" applyFont="1" applyFill="1" applyBorder="1" applyAlignment="1" applyProtection="1">
      <alignment horizontal="center"/>
      <protection/>
    </xf>
    <xf numFmtId="9" fontId="0" fillId="43" borderId="0" xfId="0" applyNumberFormat="1" applyFont="1" applyFill="1" applyBorder="1" applyAlignment="1" applyProtection="1">
      <alignment horizontal="center"/>
      <protection/>
    </xf>
    <xf numFmtId="164" fontId="0" fillId="50" borderId="25" xfId="0" applyNumberFormat="1" applyFill="1" applyBorder="1" applyAlignment="1" applyProtection="1">
      <alignment horizontal="center"/>
      <protection/>
    </xf>
    <xf numFmtId="164" fontId="0" fillId="46" borderId="13" xfId="0" applyNumberFormat="1" applyFill="1" applyBorder="1" applyAlignment="1" applyProtection="1">
      <alignment horizontal="center"/>
      <protection locked="0"/>
    </xf>
    <xf numFmtId="0" fontId="0" fillId="48" borderId="1" xfId="0" applyFill="1" applyBorder="1" applyAlignment="1" applyProtection="1">
      <alignment/>
      <protection/>
    </xf>
    <xf numFmtId="0" fontId="3" fillId="48" borderId="1" xfId="0" applyFont="1" applyFill="1" applyBorder="1" applyAlignment="1" applyProtection="1">
      <alignment horizontal="center" vertical="center"/>
      <protection/>
    </xf>
    <xf numFmtId="165" fontId="0" fillId="48" borderId="19" xfId="0" applyNumberFormat="1" applyFill="1" applyBorder="1" applyAlignment="1" applyProtection="1">
      <alignment horizontal="center" vertical="center"/>
      <protection/>
    </xf>
    <xf numFmtId="0" fontId="0" fillId="48" borderId="27" xfId="0" applyFont="1" applyFill="1" applyBorder="1" applyAlignment="1" applyProtection="1">
      <alignment/>
      <protection/>
    </xf>
    <xf numFmtId="0" fontId="3" fillId="48" borderId="1" xfId="0" applyFont="1" applyFill="1" applyBorder="1" applyAlignment="1" applyProtection="1">
      <alignment vertical="center"/>
      <protection/>
    </xf>
    <xf numFmtId="1" fontId="0" fillId="48" borderId="12" xfId="0" applyNumberFormat="1" applyFont="1" applyFill="1" applyBorder="1" applyAlignment="1" applyProtection="1">
      <alignment horizontal="left"/>
      <protection/>
    </xf>
    <xf numFmtId="0" fontId="0" fillId="46" borderId="13" xfId="0" applyFont="1" applyFill="1" applyBorder="1" applyAlignment="1" applyProtection="1">
      <alignment horizontal="center"/>
      <protection locked="0"/>
    </xf>
    <xf numFmtId="2" fontId="0" fillId="0" borderId="25" xfId="0" applyNumberFormat="1" applyBorder="1" applyAlignment="1" applyProtection="1">
      <alignment horizontal="center"/>
      <protection/>
    </xf>
    <xf numFmtId="9" fontId="0" fillId="48" borderId="18" xfId="0" applyNumberFormat="1" applyFont="1" applyFill="1" applyBorder="1" applyAlignment="1" applyProtection="1">
      <alignment horizontal="left"/>
      <protection/>
    </xf>
    <xf numFmtId="0" fontId="0" fillId="46" borderId="1" xfId="0" applyFont="1" applyFill="1" applyBorder="1" applyAlignment="1" applyProtection="1">
      <alignment horizontal="center"/>
      <protection locked="0"/>
    </xf>
    <xf numFmtId="10" fontId="0" fillId="46" borderId="19" xfId="0" applyNumberFormat="1" applyFill="1" applyBorder="1" applyAlignment="1" applyProtection="1">
      <alignment horizontal="center"/>
      <protection locked="0"/>
    </xf>
    <xf numFmtId="4" fontId="0" fillId="50" borderId="25" xfId="0" applyNumberFormat="1" applyFill="1" applyBorder="1" applyAlignment="1" applyProtection="1">
      <alignment horizontal="center"/>
      <protection/>
    </xf>
    <xf numFmtId="2" fontId="0" fillId="50" borderId="25" xfId="0" applyNumberFormat="1" applyFill="1" applyBorder="1" applyAlignment="1" applyProtection="1">
      <alignment horizontal="center"/>
      <protection/>
    </xf>
    <xf numFmtId="0" fontId="3" fillId="43" borderId="25" xfId="0" applyFont="1" applyFill="1" applyBorder="1" applyAlignment="1" applyProtection="1">
      <alignment horizontal="center"/>
      <protection/>
    </xf>
    <xf numFmtId="0" fontId="3" fillId="48" borderId="12" xfId="0" applyFont="1" applyFill="1" applyBorder="1" applyAlignment="1" applyProtection="1">
      <alignment vertical="center"/>
      <protection/>
    </xf>
    <xf numFmtId="0" fontId="3" fillId="48" borderId="13" xfId="0" applyFont="1" applyFill="1" applyBorder="1" applyAlignment="1" applyProtection="1">
      <alignment vertical="center"/>
      <protection/>
    </xf>
    <xf numFmtId="0" fontId="3" fillId="48" borderId="13" xfId="0" applyFont="1" applyFill="1" applyBorder="1" applyAlignment="1" applyProtection="1">
      <alignment horizontal="center" vertical="center"/>
      <protection/>
    </xf>
    <xf numFmtId="0" fontId="3" fillId="48" borderId="14" xfId="0" applyFont="1" applyFill="1" applyBorder="1" applyAlignment="1" applyProtection="1">
      <alignment horizontal="center" vertical="center"/>
      <protection/>
    </xf>
    <xf numFmtId="0" fontId="3" fillId="48" borderId="15" xfId="0" applyFont="1" applyFill="1" applyBorder="1" applyAlignment="1" applyProtection="1">
      <alignment vertical="center"/>
      <protection/>
    </xf>
    <xf numFmtId="0" fontId="0" fillId="46" borderId="0" xfId="0" applyFont="1" applyFill="1" applyBorder="1" applyAlignment="1" applyProtection="1">
      <alignment horizontal="right" vertical="center"/>
      <protection/>
    </xf>
    <xf numFmtId="166" fontId="0" fillId="48" borderId="16" xfId="0" applyNumberFormat="1" applyFill="1" applyBorder="1" applyAlignment="1" applyProtection="1">
      <alignment horizontal="center" vertical="center"/>
      <protection/>
    </xf>
    <xf numFmtId="0" fontId="0" fillId="0" borderId="25" xfId="0" applyFill="1" applyBorder="1" applyAlignment="1" applyProtection="1">
      <alignment/>
      <protection/>
    </xf>
    <xf numFmtId="164" fontId="0" fillId="0" borderId="25" xfId="0" applyNumberFormat="1" applyBorder="1" applyAlignment="1" applyProtection="1">
      <alignment/>
      <protection/>
    </xf>
    <xf numFmtId="0" fontId="3" fillId="48" borderId="0" xfId="0" applyFont="1" applyFill="1" applyBorder="1" applyAlignment="1" applyProtection="1">
      <alignment vertical="center"/>
      <protection/>
    </xf>
    <xf numFmtId="0" fontId="0" fillId="46" borderId="0" xfId="0" applyFill="1" applyBorder="1" applyAlignment="1" applyProtection="1">
      <alignment/>
      <protection/>
    </xf>
    <xf numFmtId="164" fontId="0" fillId="48" borderId="16" xfId="0" applyNumberFormat="1" applyFont="1" applyFill="1" applyBorder="1" applyAlignment="1" applyProtection="1">
      <alignment horizontal="center" vertical="center"/>
      <protection/>
    </xf>
    <xf numFmtId="0" fontId="3" fillId="48" borderId="0" xfId="0" applyFont="1" applyFill="1" applyBorder="1" applyAlignment="1" applyProtection="1">
      <alignment horizontal="center" vertical="center"/>
      <protection/>
    </xf>
    <xf numFmtId="0" fontId="3" fillId="48" borderId="0" xfId="0" applyFont="1" applyFill="1" applyBorder="1" applyAlignment="1" applyProtection="1">
      <alignment/>
      <protection/>
    </xf>
    <xf numFmtId="0" fontId="3" fillId="48" borderId="18" xfId="0" applyFont="1" applyFill="1" applyBorder="1" applyAlignment="1" applyProtection="1">
      <alignment vertical="center"/>
      <protection/>
    </xf>
    <xf numFmtId="0" fontId="3" fillId="48" borderId="1" xfId="0" applyFont="1" applyFill="1" applyBorder="1" applyAlignment="1" applyProtection="1">
      <alignment/>
      <protection/>
    </xf>
    <xf numFmtId="0" fontId="0" fillId="48" borderId="1" xfId="0" applyFill="1" applyBorder="1" applyAlignment="1" applyProtection="1">
      <alignment horizontal="right" vertical="center"/>
      <protection/>
    </xf>
    <xf numFmtId="166" fontId="3" fillId="48" borderId="1" xfId="0" applyNumberFormat="1" applyFont="1" applyFill="1" applyBorder="1" applyAlignment="1" applyProtection="1">
      <alignment horizontal="center" vertical="center"/>
      <protection/>
    </xf>
    <xf numFmtId="0" fontId="3" fillId="48" borderId="19" xfId="0" applyFont="1" applyFill="1" applyBorder="1" applyAlignment="1" applyProtection="1">
      <alignment/>
      <protection/>
    </xf>
    <xf numFmtId="0" fontId="3" fillId="43" borderId="13" xfId="0" applyFont="1" applyFill="1" applyBorder="1" applyAlignment="1" applyProtection="1">
      <alignment/>
      <protection/>
    </xf>
    <xf numFmtId="0" fontId="0" fillId="43" borderId="13" xfId="0" applyFill="1" applyBorder="1" applyAlignment="1" applyProtection="1">
      <alignment horizontal="right" vertical="center"/>
      <protection/>
    </xf>
    <xf numFmtId="166" fontId="3" fillId="43" borderId="13" xfId="0" applyNumberFormat="1" applyFont="1" applyFill="1" applyBorder="1" applyAlignment="1" applyProtection="1">
      <alignment horizontal="center" vertical="center"/>
      <protection/>
    </xf>
    <xf numFmtId="0" fontId="3" fillId="43" borderId="1" xfId="0" applyFont="1" applyFill="1" applyBorder="1" applyAlignment="1" applyProtection="1">
      <alignment/>
      <protection/>
    </xf>
    <xf numFmtId="0" fontId="0" fillId="43" borderId="1" xfId="0" applyFill="1" applyBorder="1" applyAlignment="1" applyProtection="1">
      <alignment horizontal="right" vertical="center"/>
      <protection/>
    </xf>
    <xf numFmtId="166" fontId="3" fillId="43" borderId="1" xfId="0" applyNumberFormat="1" applyFont="1" applyFill="1" applyBorder="1" applyAlignment="1" applyProtection="1">
      <alignment horizontal="center" vertical="center"/>
      <protection/>
    </xf>
    <xf numFmtId="0" fontId="0" fillId="43" borderId="32" xfId="0" applyFill="1" applyBorder="1" applyAlignment="1" applyProtection="1">
      <alignment/>
      <protection/>
    </xf>
    <xf numFmtId="0" fontId="0" fillId="0" borderId="0" xfId="0" applyAlignment="1" applyProtection="1">
      <alignment vertical="center"/>
      <protection/>
    </xf>
    <xf numFmtId="0" fontId="0" fillId="43" borderId="15" xfId="0" applyFill="1" applyBorder="1" applyAlignment="1" applyProtection="1">
      <alignment vertical="center"/>
      <protection/>
    </xf>
    <xf numFmtId="0" fontId="0" fillId="43" borderId="0" xfId="0" applyFill="1" applyBorder="1" applyAlignment="1" applyProtection="1">
      <alignment vertical="center"/>
      <protection/>
    </xf>
    <xf numFmtId="0" fontId="3" fillId="43" borderId="12" xfId="0" applyFont="1" applyFill="1" applyBorder="1" applyAlignment="1" applyProtection="1">
      <alignment vertical="center"/>
      <protection/>
    </xf>
    <xf numFmtId="0" fontId="25" fillId="48" borderId="29" xfId="0" applyFont="1" applyFill="1" applyBorder="1" applyAlignment="1" applyProtection="1">
      <alignment horizontal="center" vertical="center"/>
      <protection/>
    </xf>
    <xf numFmtId="0" fontId="25" fillId="48" borderId="4" xfId="0" applyFont="1" applyFill="1" applyBorder="1" applyAlignment="1" applyProtection="1">
      <alignment horizontal="center" vertical="center"/>
      <protection/>
    </xf>
    <xf numFmtId="0" fontId="0" fillId="43" borderId="16" xfId="0" applyFill="1" applyBorder="1" applyAlignment="1" applyProtection="1">
      <alignment vertical="center"/>
      <protection/>
    </xf>
    <xf numFmtId="0" fontId="0" fillId="48" borderId="27" xfId="0" applyFill="1" applyBorder="1" applyAlignment="1" applyProtection="1">
      <alignment vertical="top"/>
      <protection/>
    </xf>
    <xf numFmtId="164" fontId="0" fillId="46" borderId="0" xfId="0" applyNumberFormat="1" applyFill="1" applyBorder="1" applyAlignment="1" applyProtection="1">
      <alignment/>
      <protection locked="0"/>
    </xf>
    <xf numFmtId="9" fontId="0" fillId="46" borderId="0" xfId="0" applyNumberFormat="1" applyFill="1" applyBorder="1" applyAlignment="1" applyProtection="1">
      <alignment/>
      <protection locked="0"/>
    </xf>
    <xf numFmtId="164" fontId="0" fillId="43" borderId="16" xfId="0" applyNumberFormat="1" applyFill="1" applyBorder="1" applyAlignment="1" applyProtection="1">
      <alignment/>
      <protection/>
    </xf>
    <xf numFmtId="0" fontId="26" fillId="44" borderId="17" xfId="0" applyFont="1" applyFill="1" applyBorder="1" applyAlignment="1" applyProtection="1">
      <alignment horizontal="center" vertical="center"/>
      <protection/>
    </xf>
    <xf numFmtId="0" fontId="0" fillId="43" borderId="15" xfId="0" applyFont="1" applyFill="1" applyBorder="1" applyAlignment="1" applyProtection="1">
      <alignment horizontal="left" wrapText="1"/>
      <protection/>
    </xf>
    <xf numFmtId="9" fontId="27" fillId="43" borderId="0" xfId="0" applyNumberFormat="1" applyFont="1" applyFill="1" applyBorder="1" applyAlignment="1" applyProtection="1">
      <alignment/>
      <protection/>
    </xf>
    <xf numFmtId="164" fontId="0" fillId="43" borderId="16" xfId="0" applyNumberFormat="1" applyFont="1" applyFill="1" applyBorder="1" applyAlignment="1" applyProtection="1">
      <alignment/>
      <protection/>
    </xf>
    <xf numFmtId="0" fontId="0" fillId="48" borderId="26" xfId="0" applyFill="1" applyBorder="1" applyAlignment="1" applyProtection="1">
      <alignment vertical="top"/>
      <protection/>
    </xf>
    <xf numFmtId="0" fontId="3" fillId="43" borderId="18" xfId="0" applyFont="1" applyFill="1" applyBorder="1" applyAlignment="1" applyProtection="1">
      <alignment horizontal="center" wrapText="1"/>
      <protection/>
    </xf>
    <xf numFmtId="164" fontId="0" fillId="43" borderId="1" xfId="0" applyNumberFormat="1" applyFont="1" applyFill="1" applyBorder="1" applyAlignment="1" applyProtection="1">
      <alignment horizontal="center" wrapText="1"/>
      <protection/>
    </xf>
    <xf numFmtId="9" fontId="0" fillId="43" borderId="1" xfId="0" applyNumberFormat="1" applyFont="1" applyFill="1" applyBorder="1" applyAlignment="1" applyProtection="1">
      <alignment horizontal="center" wrapText="1"/>
      <protection/>
    </xf>
    <xf numFmtId="169" fontId="3" fillId="43" borderId="19" xfId="0" applyNumberFormat="1" applyFont="1" applyFill="1" applyBorder="1" applyAlignment="1" applyProtection="1">
      <alignment horizontal="right"/>
      <protection/>
    </xf>
    <xf numFmtId="0" fontId="0" fillId="43" borderId="0" xfId="0" applyFill="1" applyBorder="1" applyAlignment="1" applyProtection="1">
      <alignment vertical="top"/>
      <protection/>
    </xf>
    <xf numFmtId="0" fontId="3" fillId="43" borderId="0" xfId="0" applyFont="1" applyFill="1" applyBorder="1" applyAlignment="1" applyProtection="1">
      <alignment horizontal="left" wrapText="1"/>
      <protection/>
    </xf>
    <xf numFmtId="164" fontId="0" fillId="43" borderId="0" xfId="0" applyNumberFormat="1" applyFont="1" applyFill="1" applyBorder="1" applyAlignment="1" applyProtection="1">
      <alignment horizontal="center" wrapText="1"/>
      <protection/>
    </xf>
    <xf numFmtId="9" fontId="0" fillId="43" borderId="0" xfId="0" applyNumberFormat="1" applyFont="1" applyFill="1" applyBorder="1" applyAlignment="1" applyProtection="1">
      <alignment horizontal="center" wrapText="1"/>
      <protection/>
    </xf>
    <xf numFmtId="0" fontId="0" fillId="48" borderId="15" xfId="0" applyFill="1" applyBorder="1" applyAlignment="1" applyProtection="1">
      <alignment vertical="top"/>
      <protection/>
    </xf>
    <xf numFmtId="164" fontId="0" fillId="43" borderId="15" xfId="0" applyNumberFormat="1" applyFont="1" applyFill="1" applyBorder="1" applyAlignment="1" applyProtection="1">
      <alignment horizontal="left"/>
      <protection/>
    </xf>
    <xf numFmtId="169" fontId="0" fillId="43" borderId="14" xfId="0" applyNumberFormat="1" applyFill="1" applyBorder="1" applyAlignment="1" applyProtection="1">
      <alignment/>
      <protection/>
    </xf>
    <xf numFmtId="3" fontId="0" fillId="43" borderId="15" xfId="0" applyNumberFormat="1" applyFont="1" applyFill="1" applyBorder="1" applyAlignment="1" applyProtection="1">
      <alignment horizontal="left"/>
      <protection/>
    </xf>
    <xf numFmtId="169" fontId="0" fillId="43" borderId="16" xfId="0" applyNumberFormat="1" applyFill="1" applyBorder="1" applyAlignment="1" applyProtection="1">
      <alignment/>
      <protection/>
    </xf>
    <xf numFmtId="0" fontId="0" fillId="48" borderId="18" xfId="0" applyFill="1" applyBorder="1" applyAlignment="1" applyProtection="1">
      <alignment vertical="top"/>
      <protection/>
    </xf>
    <xf numFmtId="3" fontId="3" fillId="43" borderId="18" xfId="0" applyNumberFormat="1" applyFont="1" applyFill="1" applyBorder="1" applyAlignment="1" applyProtection="1">
      <alignment horizontal="center"/>
      <protection/>
    </xf>
    <xf numFmtId="164" fontId="0" fillId="43" borderId="1" xfId="0" applyNumberFormat="1" applyFont="1" applyFill="1" applyBorder="1" applyAlignment="1" applyProtection="1">
      <alignment horizontal="center"/>
      <protection/>
    </xf>
    <xf numFmtId="9" fontId="0" fillId="43" borderId="1" xfId="0" applyNumberFormat="1" applyFont="1" applyFill="1" applyBorder="1" applyAlignment="1" applyProtection="1">
      <alignment horizontal="center"/>
      <protection/>
    </xf>
    <xf numFmtId="169" fontId="3" fillId="43" borderId="19" xfId="0" applyNumberFormat="1" applyFont="1" applyFill="1" applyBorder="1" applyAlignment="1" applyProtection="1">
      <alignment/>
      <protection/>
    </xf>
    <xf numFmtId="0" fontId="3" fillId="48" borderId="12" xfId="0" applyFont="1" applyFill="1" applyBorder="1" applyAlignment="1" applyProtection="1">
      <alignment vertical="top"/>
      <protection/>
    </xf>
    <xf numFmtId="9" fontId="0" fillId="43" borderId="0" xfId="0" applyNumberFormat="1" applyFont="1" applyFill="1" applyBorder="1" applyAlignment="1" applyProtection="1">
      <alignment/>
      <protection/>
    </xf>
    <xf numFmtId="164" fontId="25" fillId="48" borderId="29" xfId="0" applyNumberFormat="1" applyFont="1" applyFill="1" applyBorder="1" applyAlignment="1" applyProtection="1">
      <alignment horizontal="center" wrapText="1"/>
      <protection/>
    </xf>
    <xf numFmtId="9" fontId="25" fillId="48" borderId="29" xfId="0" applyNumberFormat="1" applyFont="1" applyFill="1" applyBorder="1" applyAlignment="1" applyProtection="1">
      <alignment horizontal="center" wrapText="1"/>
      <protection/>
    </xf>
    <xf numFmtId="9" fontId="25" fillId="48" borderId="4" xfId="0" applyNumberFormat="1" applyFont="1" applyFill="1" applyBorder="1" applyAlignment="1" applyProtection="1">
      <alignment horizontal="center" wrapText="1"/>
      <protection/>
    </xf>
    <xf numFmtId="164" fontId="0" fillId="43" borderId="14" xfId="0" applyNumberFormat="1" applyFill="1" applyBorder="1" applyAlignment="1" applyProtection="1">
      <alignment horizontal="right"/>
      <protection/>
    </xf>
    <xf numFmtId="164" fontId="0" fillId="43" borderId="16" xfId="0" applyNumberFormat="1" applyFill="1" applyBorder="1" applyAlignment="1" applyProtection="1">
      <alignment horizontal="right"/>
      <protection/>
    </xf>
    <xf numFmtId="164" fontId="3" fillId="43" borderId="1" xfId="0" applyNumberFormat="1" applyFont="1" applyFill="1" applyBorder="1" applyAlignment="1" applyProtection="1">
      <alignment/>
      <protection/>
    </xf>
    <xf numFmtId="164" fontId="3" fillId="43" borderId="19" xfId="0" applyNumberFormat="1" applyFont="1" applyFill="1" applyBorder="1" applyAlignment="1" applyProtection="1">
      <alignment horizontal="right"/>
      <protection/>
    </xf>
    <xf numFmtId="166" fontId="0" fillId="43" borderId="16" xfId="0" applyNumberFormat="1" applyFill="1" applyBorder="1" applyAlignment="1" applyProtection="1">
      <alignment/>
      <protection/>
    </xf>
    <xf numFmtId="164" fontId="0" fillId="43" borderId="0" xfId="0" applyNumberFormat="1" applyFill="1" applyBorder="1" applyAlignment="1" applyProtection="1">
      <alignment/>
      <protection/>
    </xf>
    <xf numFmtId="166" fontId="0" fillId="43" borderId="0" xfId="0" applyNumberFormat="1" applyFill="1" applyBorder="1" applyAlignment="1" applyProtection="1">
      <alignment horizontal="right"/>
      <protection/>
    </xf>
    <xf numFmtId="9" fontId="0" fillId="43" borderId="0" xfId="0" applyNumberFormat="1" applyFont="1" applyFill="1" applyBorder="1" applyAlignment="1" applyProtection="1">
      <alignment horizontal="right"/>
      <protection/>
    </xf>
    <xf numFmtId="0" fontId="3" fillId="48" borderId="29" xfId="0" applyFont="1" applyFill="1" applyBorder="1" applyAlignment="1" applyProtection="1">
      <alignment horizontal="left" wrapText="1"/>
      <protection/>
    </xf>
    <xf numFmtId="164" fontId="0" fillId="48" borderId="29" xfId="0" applyNumberFormat="1" applyFont="1" applyFill="1" applyBorder="1" applyAlignment="1" applyProtection="1">
      <alignment horizontal="center" wrapText="1"/>
      <protection/>
    </xf>
    <xf numFmtId="9" fontId="0" fillId="48" borderId="29" xfId="0" applyNumberFormat="1" applyFont="1" applyFill="1" applyBorder="1" applyAlignment="1" applyProtection="1">
      <alignment horizontal="center" wrapText="1"/>
      <protection/>
    </xf>
    <xf numFmtId="9" fontId="0" fillId="48" borderId="4" xfId="0" applyNumberFormat="1" applyFont="1" applyFill="1" applyBorder="1" applyAlignment="1" applyProtection="1">
      <alignment horizontal="center" wrapText="1"/>
      <protection/>
    </xf>
    <xf numFmtId="0" fontId="0" fillId="43" borderId="12" xfId="0" applyFont="1" applyFill="1" applyBorder="1" applyAlignment="1" applyProtection="1">
      <alignment/>
      <protection/>
    </xf>
    <xf numFmtId="164" fontId="0" fillId="43" borderId="13" xfId="0" applyNumberFormat="1" applyFont="1" applyFill="1" applyBorder="1" applyAlignment="1" applyProtection="1">
      <alignment/>
      <protection/>
    </xf>
    <xf numFmtId="9" fontId="0" fillId="43" borderId="13" xfId="0" applyNumberFormat="1" applyFont="1" applyFill="1" applyBorder="1" applyAlignment="1" applyProtection="1">
      <alignment/>
      <protection/>
    </xf>
    <xf numFmtId="169" fontId="0" fillId="43" borderId="14" xfId="0" applyNumberFormat="1" applyFont="1" applyFill="1" applyBorder="1" applyAlignment="1" applyProtection="1">
      <alignment/>
      <protection/>
    </xf>
    <xf numFmtId="164" fontId="0" fillId="43" borderId="0" xfId="0" applyNumberFormat="1" applyFont="1" applyFill="1" applyBorder="1" applyAlignment="1" applyProtection="1">
      <alignment/>
      <protection/>
    </xf>
    <xf numFmtId="166" fontId="0" fillId="43" borderId="16" xfId="0" applyNumberFormat="1" applyFont="1" applyFill="1" applyBorder="1" applyAlignment="1" applyProtection="1">
      <alignment/>
      <protection/>
    </xf>
    <xf numFmtId="9" fontId="0" fillId="43" borderId="0" xfId="0" applyNumberFormat="1" applyFill="1" applyBorder="1" applyAlignment="1" applyProtection="1">
      <alignment/>
      <protection/>
    </xf>
    <xf numFmtId="164" fontId="3" fillId="43" borderId="16" xfId="0" applyNumberFormat="1" applyFont="1" applyFill="1" applyBorder="1" applyAlignment="1" applyProtection="1">
      <alignment/>
      <protection/>
    </xf>
    <xf numFmtId="0" fontId="3" fillId="48" borderId="18" xfId="0" applyFont="1" applyFill="1" applyBorder="1" applyAlignment="1" applyProtection="1">
      <alignment horizontal="left" vertical="center" wrapText="1"/>
      <protection/>
    </xf>
    <xf numFmtId="164" fontId="0" fillId="48" borderId="1" xfId="0" applyNumberFormat="1" applyFont="1" applyFill="1" applyBorder="1" applyAlignment="1" applyProtection="1">
      <alignment horizontal="center" vertical="center" wrapText="1"/>
      <protection/>
    </xf>
    <xf numFmtId="9" fontId="0" fillId="48" borderId="1" xfId="0" applyNumberFormat="1" applyFont="1" applyFill="1" applyBorder="1" applyAlignment="1" applyProtection="1">
      <alignment horizontal="center" vertical="center" wrapText="1"/>
      <protection/>
    </xf>
    <xf numFmtId="164" fontId="3" fillId="48" borderId="19" xfId="0" applyNumberFormat="1" applyFont="1" applyFill="1" applyBorder="1" applyAlignment="1" applyProtection="1">
      <alignment vertical="center"/>
      <protection/>
    </xf>
    <xf numFmtId="0" fontId="3" fillId="0" borderId="33" xfId="0" applyFont="1" applyFill="1" applyBorder="1" applyAlignment="1" applyProtection="1">
      <alignment horizontal="center"/>
      <protection/>
    </xf>
    <xf numFmtId="0" fontId="0" fillId="30" borderId="33" xfId="0" applyFont="1" applyFill="1" applyBorder="1" applyAlignment="1" applyProtection="1">
      <alignment horizontal="center"/>
      <protection/>
    </xf>
    <xf numFmtId="0" fontId="3" fillId="0" borderId="0" xfId="0" applyFont="1" applyAlignment="1" applyProtection="1">
      <alignment horizontal="center"/>
      <protection/>
    </xf>
    <xf numFmtId="0" fontId="3" fillId="52" borderId="33" xfId="0" applyFont="1" applyFill="1" applyBorder="1" applyAlignment="1" applyProtection="1">
      <alignment horizontal="center"/>
      <protection/>
    </xf>
    <xf numFmtId="0" fontId="3" fillId="49" borderId="33" xfId="0" applyFont="1" applyFill="1" applyBorder="1" applyAlignment="1" applyProtection="1">
      <alignment horizontal="center"/>
      <protection/>
    </xf>
    <xf numFmtId="0" fontId="3" fillId="0" borderId="33" xfId="0" applyFont="1" applyBorder="1" applyAlignment="1" applyProtection="1">
      <alignment horizontal="center"/>
      <protection/>
    </xf>
    <xf numFmtId="0" fontId="3" fillId="30" borderId="33" xfId="0" applyFont="1" applyFill="1" applyBorder="1" applyAlignment="1" applyProtection="1">
      <alignment horizontal="center"/>
      <protection/>
    </xf>
    <xf numFmtId="0" fontId="0" fillId="0" borderId="33" xfId="0" applyFill="1" applyBorder="1" applyAlignment="1" applyProtection="1">
      <alignment horizontal="center"/>
      <protection/>
    </xf>
    <xf numFmtId="0" fontId="0" fillId="52" borderId="33" xfId="0" applyFill="1" applyBorder="1" applyAlignment="1" applyProtection="1">
      <alignment horizontal="center"/>
      <protection/>
    </xf>
    <xf numFmtId="0" fontId="0" fillId="0" borderId="33" xfId="0" applyBorder="1" applyAlignment="1" applyProtection="1">
      <alignment horizontal="center"/>
      <protection/>
    </xf>
    <xf numFmtId="0" fontId="0" fillId="49" borderId="33" xfId="0" applyFill="1" applyBorder="1" applyAlignment="1" applyProtection="1">
      <alignment horizontal="center"/>
      <protection/>
    </xf>
    <xf numFmtId="0" fontId="0" fillId="30" borderId="33" xfId="0" applyFill="1" applyBorder="1" applyAlignment="1" applyProtection="1">
      <alignment horizontal="center"/>
      <protection/>
    </xf>
    <xf numFmtId="0" fontId="0" fillId="43" borderId="13" xfId="0" applyFont="1" applyFill="1" applyBorder="1" applyAlignment="1" applyProtection="1">
      <alignment/>
      <protection/>
    </xf>
    <xf numFmtId="0" fontId="3" fillId="43" borderId="13" xfId="0" applyFont="1" applyFill="1" applyBorder="1" applyAlignment="1" applyProtection="1">
      <alignment horizontal="center"/>
      <protection/>
    </xf>
    <xf numFmtId="0" fontId="3" fillId="43" borderId="15" xfId="0" applyFont="1" applyFill="1" applyBorder="1" applyAlignment="1" applyProtection="1">
      <alignment horizontal="left" vertical="top"/>
      <protection/>
    </xf>
    <xf numFmtId="0" fontId="3" fillId="43" borderId="0" xfId="0" applyFont="1" applyFill="1" applyBorder="1" applyAlignment="1" applyProtection="1">
      <alignment horizontal="center"/>
      <protection/>
    </xf>
    <xf numFmtId="0" fontId="3" fillId="43" borderId="1"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0" fontId="0" fillId="52" borderId="33" xfId="0" applyFont="1" applyFill="1" applyBorder="1" applyAlignment="1" applyProtection="1">
      <alignment horizontal="center"/>
      <protection/>
    </xf>
    <xf numFmtId="0" fontId="0" fillId="49" borderId="33" xfId="0" applyFont="1" applyFill="1" applyBorder="1" applyAlignment="1" applyProtection="1">
      <alignment horizontal="center"/>
      <protection/>
    </xf>
    <xf numFmtId="0" fontId="0" fillId="0" borderId="33" xfId="0" applyFont="1" applyBorder="1" applyAlignment="1" applyProtection="1">
      <alignment horizontal="center"/>
      <protection/>
    </xf>
    <xf numFmtId="10" fontId="0" fillId="44" borderId="13" xfId="0" applyNumberFormat="1" applyFont="1" applyFill="1" applyBorder="1" applyAlignment="1" applyProtection="1">
      <alignment horizontal="center"/>
      <protection/>
    </xf>
    <xf numFmtId="9" fontId="0" fillId="46" borderId="13" xfId="0" applyNumberFormat="1" applyFont="1" applyFill="1" applyBorder="1" applyAlignment="1" applyProtection="1">
      <alignment horizontal="center"/>
      <protection locked="0"/>
    </xf>
    <xf numFmtId="10" fontId="0" fillId="0" borderId="33" xfId="0" applyNumberFormat="1" applyFont="1" applyFill="1" applyBorder="1" applyAlignment="1" applyProtection="1">
      <alignment horizontal="center"/>
      <protection/>
    </xf>
    <xf numFmtId="10" fontId="0" fillId="52" borderId="33" xfId="0" applyNumberFormat="1" applyFont="1" applyFill="1" applyBorder="1" applyAlignment="1" applyProtection="1">
      <alignment horizontal="center"/>
      <protection/>
    </xf>
    <xf numFmtId="10" fontId="0" fillId="0" borderId="33" xfId="0" applyNumberFormat="1" applyBorder="1" applyAlignment="1" applyProtection="1">
      <alignment horizontal="center"/>
      <protection/>
    </xf>
    <xf numFmtId="10" fontId="0" fillId="49" borderId="33" xfId="0" applyNumberFormat="1" applyFont="1" applyFill="1" applyBorder="1" applyAlignment="1" applyProtection="1">
      <alignment horizontal="center"/>
      <protection/>
    </xf>
    <xf numFmtId="10" fontId="0" fillId="0" borderId="33" xfId="0" applyNumberFormat="1" applyFont="1" applyBorder="1" applyAlignment="1" applyProtection="1">
      <alignment horizontal="center"/>
      <protection/>
    </xf>
    <xf numFmtId="10" fontId="0" fillId="30" borderId="33" xfId="0" applyNumberFormat="1" applyFont="1" applyFill="1" applyBorder="1" applyAlignment="1" applyProtection="1">
      <alignment horizontal="center"/>
      <protection/>
    </xf>
    <xf numFmtId="10" fontId="0" fillId="44" borderId="0" xfId="0" applyNumberFormat="1" applyFont="1" applyFill="1" applyBorder="1" applyAlignment="1" applyProtection="1">
      <alignment horizontal="center"/>
      <protection/>
    </xf>
    <xf numFmtId="10" fontId="0" fillId="46" borderId="0" xfId="0" applyNumberFormat="1" applyFont="1" applyFill="1" applyBorder="1" applyAlignment="1" applyProtection="1">
      <alignment horizontal="center" wrapText="1"/>
      <protection locked="0"/>
    </xf>
    <xf numFmtId="10" fontId="0" fillId="52" borderId="33" xfId="0" applyNumberFormat="1" applyFill="1" applyBorder="1" applyAlignment="1" applyProtection="1">
      <alignment horizontal="center"/>
      <protection/>
    </xf>
    <xf numFmtId="10" fontId="0" fillId="49" borderId="33" xfId="0" applyNumberFormat="1" applyFill="1" applyBorder="1" applyAlignment="1" applyProtection="1">
      <alignment horizontal="center"/>
      <protection/>
    </xf>
    <xf numFmtId="10" fontId="0" fillId="44" borderId="1" xfId="0" applyNumberFormat="1" applyFont="1" applyFill="1" applyBorder="1" applyAlignment="1" applyProtection="1">
      <alignment horizontal="center"/>
      <protection/>
    </xf>
    <xf numFmtId="10" fontId="0" fillId="46" borderId="1" xfId="0" applyNumberFormat="1" applyFont="1" applyFill="1" applyBorder="1" applyAlignment="1" applyProtection="1">
      <alignment horizontal="center"/>
      <protection locked="0"/>
    </xf>
    <xf numFmtId="10" fontId="0" fillId="0" borderId="33" xfId="0" applyNumberFormat="1" applyFill="1" applyBorder="1" applyAlignment="1" applyProtection="1">
      <alignment horizontal="center"/>
      <protection/>
    </xf>
    <xf numFmtId="0" fontId="26" fillId="43" borderId="0" xfId="0" applyFont="1" applyFill="1" applyBorder="1" applyAlignment="1" applyProtection="1">
      <alignment horizontal="center" vertical="center"/>
      <protection/>
    </xf>
    <xf numFmtId="0" fontId="0" fillId="43" borderId="0" xfId="0" applyFont="1" applyFill="1" applyBorder="1" applyAlignment="1" applyProtection="1">
      <alignment horizontal="right"/>
      <protection/>
    </xf>
    <xf numFmtId="10" fontId="0" fillId="43" borderId="0" xfId="0" applyNumberFormat="1" applyFont="1" applyFill="1" applyBorder="1" applyAlignment="1" applyProtection="1">
      <alignment horizontal="center"/>
      <protection/>
    </xf>
    <xf numFmtId="0" fontId="3" fillId="48" borderId="30" xfId="0" applyFont="1" applyFill="1" applyBorder="1" applyAlignment="1" applyProtection="1">
      <alignment horizontal="left"/>
      <protection/>
    </xf>
    <xf numFmtId="10" fontId="0" fillId="44" borderId="29" xfId="0" applyNumberFormat="1" applyFont="1" applyFill="1" applyBorder="1" applyAlignment="1" applyProtection="1">
      <alignment horizontal="center"/>
      <protection/>
    </xf>
    <xf numFmtId="10" fontId="0" fillId="46" borderId="29" xfId="0" applyNumberFormat="1" applyFont="1" applyFill="1" applyBorder="1" applyAlignment="1" applyProtection="1">
      <alignment horizontal="center"/>
      <protection locked="0"/>
    </xf>
    <xf numFmtId="0" fontId="0" fillId="43" borderId="0" xfId="0" applyFill="1" applyAlignment="1" applyProtection="1">
      <alignment/>
      <protection/>
    </xf>
    <xf numFmtId="0" fontId="0" fillId="43" borderId="0" xfId="0" applyFont="1" applyFill="1" applyAlignment="1" applyProtection="1">
      <alignment/>
      <protection/>
    </xf>
    <xf numFmtId="0" fontId="0" fillId="43" borderId="13" xfId="0" applyFont="1" applyFill="1" applyBorder="1" applyAlignment="1" applyProtection="1">
      <alignment horizontal="center"/>
      <protection/>
    </xf>
    <xf numFmtId="1" fontId="0" fillId="43" borderId="29" xfId="0" applyNumberFormat="1" applyFont="1" applyFill="1" applyBorder="1" applyAlignment="1" applyProtection="1">
      <alignment horizontal="center"/>
      <protection/>
    </xf>
    <xf numFmtId="0" fontId="3" fillId="43" borderId="27" xfId="0" applyFont="1" applyFill="1" applyBorder="1" applyAlignment="1" applyProtection="1">
      <alignment/>
      <protection/>
    </xf>
    <xf numFmtId="165" fontId="0" fillId="44" borderId="13" xfId="0" applyNumberFormat="1" applyFont="1" applyFill="1" applyBorder="1" applyAlignment="1" applyProtection="1">
      <alignment horizontal="center"/>
      <protection/>
    </xf>
    <xf numFmtId="165" fontId="0" fillId="44" borderId="0" xfId="0" applyNumberFormat="1" applyFont="1" applyFill="1" applyBorder="1" applyAlignment="1" applyProtection="1">
      <alignment horizontal="center"/>
      <protection/>
    </xf>
    <xf numFmtId="165" fontId="0" fillId="0" borderId="33" xfId="0" applyNumberFormat="1" applyFill="1" applyBorder="1" applyAlignment="1" applyProtection="1">
      <alignment horizontal="center"/>
      <protection/>
    </xf>
    <xf numFmtId="0" fontId="3" fillId="48" borderId="15" xfId="0" applyFont="1" applyFill="1" applyBorder="1" applyAlignment="1" applyProtection="1">
      <alignment vertical="top"/>
      <protection/>
    </xf>
    <xf numFmtId="0" fontId="0" fillId="0" borderId="0" xfId="0" applyFont="1" applyAlignment="1" applyProtection="1">
      <alignment horizontal="left"/>
      <protection/>
    </xf>
    <xf numFmtId="0" fontId="4" fillId="53" borderId="0" xfId="0" applyFont="1" applyFill="1" applyAlignment="1" applyProtection="1">
      <alignment horizontal="center"/>
      <protection/>
    </xf>
    <xf numFmtId="0" fontId="0" fillId="53" borderId="0" xfId="0" applyFill="1" applyAlignment="1" applyProtection="1">
      <alignment horizontal="center"/>
      <protection/>
    </xf>
    <xf numFmtId="0" fontId="0" fillId="44" borderId="0" xfId="0" applyNumberFormat="1" applyFont="1" applyFill="1" applyBorder="1" applyAlignment="1" applyProtection="1">
      <alignment horizontal="center"/>
      <protection/>
    </xf>
    <xf numFmtId="165" fontId="0" fillId="43" borderId="1" xfId="0" applyNumberFormat="1" applyFill="1" applyBorder="1" applyAlignment="1" applyProtection="1">
      <alignment horizontal="center" vertical="center"/>
      <protection/>
    </xf>
    <xf numFmtId="0" fontId="0" fillId="0" borderId="0" xfId="0" applyAlignment="1" applyProtection="1">
      <alignment/>
      <protection/>
    </xf>
    <xf numFmtId="0" fontId="4" fillId="0" borderId="0" xfId="0" applyFont="1" applyAlignment="1" applyProtection="1">
      <alignment/>
      <protection/>
    </xf>
    <xf numFmtId="0" fontId="30" fillId="0" borderId="0" xfId="0" applyFont="1" applyAlignment="1" applyProtection="1">
      <alignment horizontal="center"/>
      <protection/>
    </xf>
    <xf numFmtId="0" fontId="0" fillId="0" borderId="0" xfId="0" applyFont="1" applyAlignment="1" applyProtection="1">
      <alignment/>
      <protection/>
    </xf>
    <xf numFmtId="0" fontId="3" fillId="48" borderId="25" xfId="0" applyFont="1" applyFill="1" applyBorder="1" applyAlignment="1" applyProtection="1">
      <alignment/>
      <protection/>
    </xf>
    <xf numFmtId="2" fontId="4" fillId="0" borderId="0" xfId="0" applyNumberFormat="1" applyFont="1" applyAlignment="1" applyProtection="1">
      <alignment/>
      <protection/>
    </xf>
    <xf numFmtId="2" fontId="0" fillId="0" borderId="0" xfId="0" applyNumberFormat="1" applyAlignment="1" applyProtection="1">
      <alignment/>
      <protection/>
    </xf>
    <xf numFmtId="0" fontId="0" fillId="0" borderId="25" xfId="0" applyFont="1" applyFill="1" applyBorder="1" applyAlignment="1" applyProtection="1">
      <alignment/>
      <protection/>
    </xf>
    <xf numFmtId="164" fontId="0" fillId="0" borderId="25" xfId="0" applyNumberFormat="1" applyFill="1" applyBorder="1" applyAlignment="1" applyProtection="1">
      <alignment horizontal="left"/>
      <protection/>
    </xf>
    <xf numFmtId="0" fontId="4" fillId="0" borderId="0" xfId="0" applyFont="1" applyAlignment="1" applyProtection="1">
      <alignment horizontal="center"/>
      <protection/>
    </xf>
    <xf numFmtId="9" fontId="30" fillId="0" borderId="0" xfId="0" applyNumberFormat="1" applyFont="1" applyAlignment="1" applyProtection="1">
      <alignment horizontal="center"/>
      <protection/>
    </xf>
    <xf numFmtId="10" fontId="0" fillId="0" borderId="0" xfId="0" applyNumberFormat="1" applyAlignment="1" applyProtection="1">
      <alignment/>
      <protection/>
    </xf>
    <xf numFmtId="9" fontId="0" fillId="0" borderId="0" xfId="0" applyNumberFormat="1" applyAlignment="1" applyProtection="1">
      <alignment/>
      <protection/>
    </xf>
    <xf numFmtId="0" fontId="0" fillId="0" borderId="25" xfId="0" applyFont="1" applyBorder="1" applyAlignment="1" applyProtection="1">
      <alignment/>
      <protection/>
    </xf>
    <xf numFmtId="164" fontId="0" fillId="0" borderId="25" xfId="0" applyNumberFormat="1" applyBorder="1" applyAlignment="1" applyProtection="1">
      <alignment horizontal="left"/>
      <protection/>
    </xf>
    <xf numFmtId="2" fontId="30" fillId="0" borderId="0" xfId="0" applyNumberFormat="1" applyFont="1" applyAlignment="1" applyProtection="1">
      <alignment horizontal="center"/>
      <protection/>
    </xf>
    <xf numFmtId="2" fontId="31" fillId="0" borderId="0" xfId="0" applyNumberFormat="1" applyFont="1" applyAlignment="1" applyProtection="1">
      <alignment/>
      <protection/>
    </xf>
    <xf numFmtId="10" fontId="30" fillId="0" borderId="0" xfId="0" applyNumberFormat="1" applyFont="1" applyAlignment="1" applyProtection="1">
      <alignment horizontal="center"/>
      <protection/>
    </xf>
    <xf numFmtId="9" fontId="0" fillId="0" borderId="0" xfId="0" applyNumberFormat="1" applyFont="1" applyFill="1" applyBorder="1" applyAlignment="1" applyProtection="1">
      <alignment horizontal="center"/>
      <protection/>
    </xf>
    <xf numFmtId="0" fontId="0" fillId="43" borderId="15" xfId="0" applyFill="1" applyBorder="1" applyAlignment="1" applyProtection="1">
      <alignment/>
      <protection/>
    </xf>
    <xf numFmtId="0" fontId="0" fillId="43" borderId="13" xfId="0" applyFill="1" applyBorder="1" applyAlignment="1" applyProtection="1">
      <alignment/>
      <protection/>
    </xf>
    <xf numFmtId="1" fontId="4" fillId="43" borderId="13" xfId="0" applyNumberFormat="1" applyFont="1" applyFill="1" applyBorder="1" applyAlignment="1" applyProtection="1">
      <alignment/>
      <protection/>
    </xf>
    <xf numFmtId="1" fontId="4" fillId="43" borderId="13" xfId="71" applyNumberFormat="1" applyFont="1" applyFill="1" applyBorder="1" applyAlignment="1" applyProtection="1">
      <alignment horizontal="center"/>
      <protection/>
    </xf>
    <xf numFmtId="1" fontId="0" fillId="43" borderId="13" xfId="0" applyNumberFormat="1" applyFont="1" applyFill="1" applyBorder="1" applyAlignment="1" applyProtection="1">
      <alignment horizontal="center"/>
      <protection/>
    </xf>
    <xf numFmtId="0" fontId="0" fillId="43" borderId="16" xfId="0" applyFill="1" applyBorder="1" applyAlignment="1" applyProtection="1">
      <alignment/>
      <protection/>
    </xf>
    <xf numFmtId="0" fontId="0" fillId="0" borderId="0" xfId="0" applyFont="1" applyFill="1" applyAlignment="1" applyProtection="1">
      <alignment/>
      <protection/>
    </xf>
    <xf numFmtId="0" fontId="0" fillId="43" borderId="0" xfId="0" applyFill="1" applyBorder="1" applyAlignment="1" applyProtection="1">
      <alignment/>
      <protection/>
    </xf>
    <xf numFmtId="0" fontId="11" fillId="40" borderId="0" xfId="0" applyFont="1" applyFill="1" applyBorder="1" applyAlignment="1" applyProtection="1">
      <alignment vertical="top"/>
      <protection/>
    </xf>
    <xf numFmtId="0" fontId="11" fillId="54" borderId="0" xfId="0" applyFont="1" applyFill="1" applyBorder="1" applyAlignment="1" applyProtection="1">
      <alignment vertical="top"/>
      <protection/>
    </xf>
    <xf numFmtId="0" fontId="0" fillId="43" borderId="1" xfId="0" applyFill="1" applyBorder="1" applyAlignment="1" applyProtection="1">
      <alignment/>
      <protection/>
    </xf>
    <xf numFmtId="1" fontId="4" fillId="43" borderId="1" xfId="0" applyNumberFormat="1" applyFont="1" applyFill="1" applyBorder="1" applyAlignment="1" applyProtection="1">
      <alignment/>
      <protection/>
    </xf>
    <xf numFmtId="1" fontId="4" fillId="43" borderId="1" xfId="71" applyNumberFormat="1" applyFont="1" applyFill="1" applyBorder="1" applyAlignment="1" applyProtection="1">
      <alignment horizontal="center"/>
      <protection/>
    </xf>
    <xf numFmtId="1" fontId="0" fillId="43" borderId="1" xfId="0" applyNumberFormat="1" applyFont="1" applyFill="1" applyBorder="1" applyAlignment="1" applyProtection="1">
      <alignment horizontal="center"/>
      <protection/>
    </xf>
    <xf numFmtId="9" fontId="0" fillId="43" borderId="13"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Fill="1" applyAlignment="1" applyProtection="1">
      <alignment/>
      <protection/>
    </xf>
    <xf numFmtId="0" fontId="0" fillId="0" borderId="1" xfId="0" applyBorder="1" applyAlignment="1" applyProtection="1">
      <alignment horizontal="center" vertical="center"/>
      <protection/>
    </xf>
    <xf numFmtId="9" fontId="0" fillId="43" borderId="13" xfId="0" applyNumberFormat="1" applyFill="1" applyBorder="1" applyAlignment="1" applyProtection="1">
      <alignment horizontal="center" vertical="center"/>
      <protection/>
    </xf>
    <xf numFmtId="1" fontId="4" fillId="43" borderId="13" xfId="0" applyNumberFormat="1" applyFont="1" applyFill="1" applyBorder="1" applyAlignment="1" applyProtection="1">
      <alignment horizontal="center"/>
      <protection/>
    </xf>
    <xf numFmtId="0" fontId="0" fillId="43" borderId="18" xfId="0" applyFill="1" applyBorder="1" applyAlignment="1" applyProtection="1">
      <alignment/>
      <protection/>
    </xf>
    <xf numFmtId="1" fontId="4" fillId="43" borderId="1" xfId="0" applyNumberFormat="1" applyFont="1" applyFill="1" applyBorder="1" applyAlignment="1" applyProtection="1">
      <alignment horizontal="center"/>
      <protection/>
    </xf>
    <xf numFmtId="0" fontId="0" fillId="43" borderId="19" xfId="0" applyFill="1" applyBorder="1" applyAlignment="1" applyProtection="1">
      <alignment/>
      <protection/>
    </xf>
    <xf numFmtId="0" fontId="0" fillId="43" borderId="12" xfId="0" applyFill="1" applyBorder="1" applyAlignment="1" applyProtection="1">
      <alignment/>
      <protection/>
    </xf>
    <xf numFmtId="0" fontId="4" fillId="43" borderId="13" xfId="0" applyFont="1" applyFill="1" applyBorder="1" applyAlignment="1" applyProtection="1">
      <alignment/>
      <protection/>
    </xf>
    <xf numFmtId="0" fontId="30" fillId="43" borderId="13" xfId="0" applyFont="1" applyFill="1" applyBorder="1" applyAlignment="1" applyProtection="1">
      <alignment horizontal="center"/>
      <protection/>
    </xf>
    <xf numFmtId="0" fontId="0" fillId="43" borderId="14" xfId="0" applyFill="1" applyBorder="1" applyAlignment="1" applyProtection="1">
      <alignment/>
      <protection/>
    </xf>
    <xf numFmtId="0" fontId="0" fillId="43" borderId="30" xfId="0" applyFont="1" applyFill="1" applyBorder="1" applyAlignment="1" applyProtection="1">
      <alignment/>
      <protection/>
    </xf>
    <xf numFmtId="0" fontId="0" fillId="43" borderId="29" xfId="0" applyFont="1" applyFill="1" applyBorder="1" applyAlignment="1" applyProtection="1">
      <alignment horizontal="center"/>
      <protection/>
    </xf>
    <xf numFmtId="0" fontId="0" fillId="0" borderId="29" xfId="0" applyBorder="1" applyAlignment="1" applyProtection="1">
      <alignment horizontal="center"/>
      <protection/>
    </xf>
    <xf numFmtId="0" fontId="0" fillId="0" borderId="4" xfId="0" applyBorder="1" applyAlignment="1" applyProtection="1">
      <alignment horizontal="center"/>
      <protection/>
    </xf>
    <xf numFmtId="3" fontId="0" fillId="43" borderId="29" xfId="0" applyNumberFormat="1" applyFont="1" applyFill="1" applyBorder="1" applyAlignment="1" applyProtection="1">
      <alignment horizontal="center"/>
      <protection/>
    </xf>
    <xf numFmtId="0" fontId="0" fillId="0" borderId="4" xfId="0" applyBorder="1" applyAlignment="1" applyProtection="1">
      <alignment/>
      <protection/>
    </xf>
    <xf numFmtId="0" fontId="3" fillId="43" borderId="0" xfId="0" applyFont="1" applyFill="1" applyBorder="1" applyAlignment="1" applyProtection="1">
      <alignment/>
      <protection/>
    </xf>
    <xf numFmtId="0" fontId="7" fillId="43" borderId="0" xfId="0" applyFont="1" applyFill="1" applyBorder="1" applyAlignment="1" applyProtection="1">
      <alignment/>
      <protection/>
    </xf>
    <xf numFmtId="0" fontId="30" fillId="43" borderId="0" xfId="0" applyFont="1" applyFill="1" applyBorder="1" applyAlignment="1" applyProtection="1">
      <alignment horizontal="center"/>
      <protection/>
    </xf>
    <xf numFmtId="164" fontId="0" fillId="43" borderId="29" xfId="0" applyNumberFormat="1" applyFont="1" applyFill="1" applyBorder="1" applyAlignment="1" applyProtection="1">
      <alignment horizontal="center"/>
      <protection/>
    </xf>
    <xf numFmtId="0" fontId="0" fillId="43" borderId="13" xfId="0" applyFill="1" applyBorder="1" applyAlignment="1" applyProtection="1">
      <alignment horizontal="center" vertical="center"/>
      <protection/>
    </xf>
    <xf numFmtId="0" fontId="4" fillId="43" borderId="13" xfId="0" applyFont="1" applyFill="1" applyBorder="1" applyAlignment="1" applyProtection="1">
      <alignment horizontal="center" vertical="center"/>
      <protection/>
    </xf>
    <xf numFmtId="0" fontId="0" fillId="0" borderId="29" xfId="0" applyBorder="1" applyAlignment="1" applyProtection="1">
      <alignment/>
      <protection/>
    </xf>
    <xf numFmtId="0" fontId="0" fillId="43" borderId="29" xfId="0" applyFont="1" applyFill="1" applyBorder="1" applyAlignment="1" applyProtection="1">
      <alignment horizontal="right"/>
      <protection/>
    </xf>
    <xf numFmtId="0" fontId="0" fillId="43" borderId="29" xfId="0" applyFill="1" applyBorder="1" applyAlignment="1" applyProtection="1">
      <alignment horizontal="right"/>
      <protection/>
    </xf>
    <xf numFmtId="0" fontId="0" fillId="43" borderId="30" xfId="0" applyFill="1" applyBorder="1" applyAlignment="1" applyProtection="1">
      <alignment/>
      <protection/>
    </xf>
    <xf numFmtId="0" fontId="0" fillId="43" borderId="29" xfId="0" applyFill="1" applyBorder="1" applyAlignment="1" applyProtection="1">
      <alignment/>
      <protection/>
    </xf>
    <xf numFmtId="0" fontId="0" fillId="43" borderId="4" xfId="0" applyFill="1" applyBorder="1" applyAlignment="1" applyProtection="1">
      <alignment/>
      <protection/>
    </xf>
    <xf numFmtId="0" fontId="3" fillId="43" borderId="12" xfId="0" applyFont="1" applyFill="1" applyBorder="1" applyAlignment="1" applyProtection="1">
      <alignment horizontal="left"/>
      <protection/>
    </xf>
    <xf numFmtId="0" fontId="0" fillId="43" borderId="13" xfId="0" applyFill="1" applyBorder="1" applyAlignment="1" applyProtection="1">
      <alignment horizontal="left"/>
      <protection/>
    </xf>
    <xf numFmtId="0" fontId="4" fillId="43" borderId="13" xfId="0" applyFont="1" applyFill="1" applyBorder="1" applyAlignment="1" applyProtection="1">
      <alignment horizontal="left"/>
      <protection/>
    </xf>
    <xf numFmtId="0" fontId="0" fillId="43" borderId="29" xfId="0" applyFont="1" applyFill="1" applyBorder="1" applyAlignment="1" applyProtection="1">
      <alignment/>
      <protection/>
    </xf>
    <xf numFmtId="171" fontId="0" fillId="43" borderId="29" xfId="0" applyNumberFormat="1" applyFill="1" applyBorder="1" applyAlignment="1" applyProtection="1">
      <alignment horizontal="left"/>
      <protection/>
    </xf>
    <xf numFmtId="164" fontId="0" fillId="43" borderId="29" xfId="0" applyNumberFormat="1" applyFill="1" applyBorder="1" applyAlignment="1" applyProtection="1">
      <alignment horizontal="left"/>
      <protection/>
    </xf>
    <xf numFmtId="0" fontId="3" fillId="43" borderId="15" xfId="0" applyFont="1" applyFill="1" applyBorder="1" applyAlignment="1" applyProtection="1">
      <alignment horizontal="left"/>
      <protection/>
    </xf>
    <xf numFmtId="0" fontId="0" fillId="43" borderId="0" xfId="0" applyFill="1" applyBorder="1" applyAlignment="1" applyProtection="1">
      <alignment horizontal="left"/>
      <protection/>
    </xf>
    <xf numFmtId="0" fontId="4" fillId="43" borderId="0" xfId="0" applyFont="1" applyFill="1" applyBorder="1" applyAlignment="1" applyProtection="1">
      <alignment horizontal="left"/>
      <protection/>
    </xf>
    <xf numFmtId="0" fontId="4" fillId="43" borderId="0" xfId="0" applyFont="1" applyFill="1" applyBorder="1" applyAlignment="1" applyProtection="1">
      <alignment/>
      <protection/>
    </xf>
    <xf numFmtId="0" fontId="34" fillId="43" borderId="0" xfId="0" applyFont="1" applyFill="1" applyBorder="1" applyAlignment="1" applyProtection="1">
      <alignment/>
      <protection/>
    </xf>
    <xf numFmtId="0" fontId="35" fillId="43" borderId="0" xfId="0" applyFont="1" applyFill="1" applyBorder="1" applyAlignment="1" applyProtection="1">
      <alignment horizontal="center"/>
      <protection/>
    </xf>
    <xf numFmtId="0" fontId="3" fillId="43" borderId="13" xfId="0" applyFont="1" applyFill="1" applyBorder="1" applyAlignment="1" applyProtection="1">
      <alignment/>
      <protection/>
    </xf>
    <xf numFmtId="0" fontId="3" fillId="43" borderId="12" xfId="0" applyFont="1" applyFill="1" applyBorder="1" applyAlignment="1" applyProtection="1">
      <alignment/>
      <protection/>
    </xf>
    <xf numFmtId="0" fontId="30" fillId="43" borderId="14" xfId="0" applyFont="1" applyFill="1" applyBorder="1" applyAlignment="1" applyProtection="1">
      <alignment horizontal="center"/>
      <protection/>
    </xf>
    <xf numFmtId="0" fontId="3" fillId="43" borderId="15" xfId="0" applyFont="1" applyFill="1" applyBorder="1" applyAlignment="1" applyProtection="1">
      <alignment/>
      <protection/>
    </xf>
    <xf numFmtId="0" fontId="4" fillId="45" borderId="0" xfId="0" applyFont="1" applyFill="1" applyBorder="1" applyAlignment="1" applyProtection="1">
      <alignment horizontal="center"/>
      <protection/>
    </xf>
    <xf numFmtId="3" fontId="4" fillId="45" borderId="0" xfId="0" applyNumberFormat="1" applyFont="1" applyFill="1" applyBorder="1" applyAlignment="1" applyProtection="1">
      <alignment horizontal="center"/>
      <protection/>
    </xf>
    <xf numFmtId="0" fontId="4" fillId="45" borderId="0" xfId="0" applyFont="1" applyFill="1" applyAlignment="1" applyProtection="1">
      <alignment/>
      <protection/>
    </xf>
    <xf numFmtId="0" fontId="0" fillId="45" borderId="0" xfId="0" applyFill="1" applyBorder="1" applyAlignment="1" applyProtection="1">
      <alignment/>
      <protection/>
    </xf>
    <xf numFmtId="0" fontId="30" fillId="45" borderId="16" xfId="0" applyFont="1" applyFill="1" applyBorder="1" applyAlignment="1" applyProtection="1">
      <alignment horizontal="center"/>
      <protection/>
    </xf>
    <xf numFmtId="0" fontId="26"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43" borderId="15" xfId="0" applyFont="1" applyFill="1" applyBorder="1" applyAlignment="1" applyProtection="1">
      <alignment/>
      <protection/>
    </xf>
    <xf numFmtId="0" fontId="30" fillId="43" borderId="16" xfId="0" applyFont="1" applyFill="1" applyBorder="1" applyAlignment="1" applyProtection="1">
      <alignment horizontal="center"/>
      <protection/>
    </xf>
    <xf numFmtId="0" fontId="3" fillId="0" borderId="0" xfId="0" applyFont="1" applyFill="1" applyBorder="1" applyAlignment="1" applyProtection="1">
      <alignment/>
      <protection/>
    </xf>
    <xf numFmtId="0" fontId="4" fillId="45" borderId="0" xfId="0" applyFont="1" applyFill="1" applyAlignment="1" applyProtection="1">
      <alignment horizontal="center"/>
      <protection/>
    </xf>
    <xf numFmtId="1" fontId="4" fillId="45" borderId="0" xfId="0" applyNumberFormat="1" applyFont="1" applyFill="1" applyBorder="1" applyAlignment="1" applyProtection="1">
      <alignment horizontal="center"/>
      <protection/>
    </xf>
    <xf numFmtId="172" fontId="4" fillId="45" borderId="0" xfId="0" applyNumberFormat="1" applyFont="1" applyFill="1" applyBorder="1" applyAlignment="1" applyProtection="1">
      <alignment horizontal="center"/>
      <protection/>
    </xf>
    <xf numFmtId="9" fontId="4" fillId="45" borderId="0" xfId="0" applyNumberFormat="1" applyFont="1" applyFill="1" applyBorder="1" applyAlignment="1" applyProtection="1">
      <alignment horizontal="center"/>
      <protection/>
    </xf>
    <xf numFmtId="0" fontId="4" fillId="43" borderId="1" xfId="0" applyFont="1" applyFill="1" applyBorder="1" applyAlignment="1" applyProtection="1">
      <alignment/>
      <protection/>
    </xf>
    <xf numFmtId="0" fontId="30" fillId="43" borderId="19" xfId="0" applyFont="1" applyFill="1" applyBorder="1" applyAlignment="1" applyProtection="1">
      <alignment horizontal="center"/>
      <protection/>
    </xf>
    <xf numFmtId="0" fontId="0" fillId="43" borderId="0" xfId="0" applyFill="1" applyAlignment="1" applyProtection="1">
      <alignment/>
      <protection/>
    </xf>
    <xf numFmtId="0" fontId="4" fillId="43" borderId="0" xfId="0" applyFont="1" applyFill="1" applyAlignment="1" applyProtection="1">
      <alignment/>
      <protection/>
    </xf>
    <xf numFmtId="0" fontId="30" fillId="43" borderId="0" xfId="0" applyFont="1" applyFill="1" applyAlignment="1" applyProtection="1">
      <alignment horizontal="center"/>
      <protection/>
    </xf>
    <xf numFmtId="0" fontId="3" fillId="48" borderId="30" xfId="0" applyFont="1" applyFill="1" applyBorder="1" applyAlignment="1" applyProtection="1">
      <alignment horizontal="left" vertical="center"/>
      <protection/>
    </xf>
    <xf numFmtId="0" fontId="3" fillId="48" borderId="29" xfId="0" applyFont="1" applyFill="1" applyBorder="1" applyAlignment="1" applyProtection="1">
      <alignment/>
      <protection/>
    </xf>
    <xf numFmtId="10" fontId="3" fillId="48" borderId="29" xfId="0" applyNumberFormat="1" applyFont="1" applyFill="1" applyBorder="1" applyAlignment="1" applyProtection="1">
      <alignment horizontal="center" vertical="center"/>
      <protection/>
    </xf>
    <xf numFmtId="0" fontId="0" fillId="48" borderId="29" xfId="0" applyFill="1" applyBorder="1" applyAlignment="1" applyProtection="1">
      <alignment vertical="center"/>
      <protection/>
    </xf>
    <xf numFmtId="1" fontId="4" fillId="48" borderId="29" xfId="0" applyNumberFormat="1" applyFont="1" applyFill="1" applyBorder="1" applyAlignment="1" applyProtection="1">
      <alignment vertical="center"/>
      <protection/>
    </xf>
    <xf numFmtId="1" fontId="4" fillId="48" borderId="29" xfId="0" applyNumberFormat="1" applyFont="1" applyFill="1" applyBorder="1" applyAlignment="1" applyProtection="1">
      <alignment horizontal="center" vertical="center"/>
      <protection/>
    </xf>
    <xf numFmtId="1" fontId="0" fillId="48" borderId="29" xfId="0" applyNumberFormat="1" applyFont="1" applyFill="1" applyBorder="1" applyAlignment="1" applyProtection="1">
      <alignment horizontal="center" vertical="center"/>
      <protection/>
    </xf>
    <xf numFmtId="0" fontId="3" fillId="48" borderId="29" xfId="0" applyFont="1" applyFill="1" applyBorder="1" applyAlignment="1" applyProtection="1">
      <alignment horizontal="center" vertical="center"/>
      <protection/>
    </xf>
    <xf numFmtId="0" fontId="38" fillId="48" borderId="4" xfId="0" applyFont="1" applyFill="1" applyBorder="1" applyAlignment="1" applyProtection="1">
      <alignment horizontal="center" vertical="center"/>
      <protection/>
    </xf>
    <xf numFmtId="0" fontId="2" fillId="0" borderId="0" xfId="43" applyNumberFormat="1" applyFill="1" applyBorder="1" applyProtection="1">
      <alignment horizontal="center" vertical="top"/>
      <protection/>
    </xf>
    <xf numFmtId="0" fontId="1" fillId="0" borderId="0" xfId="42" applyNumberFormat="1" applyFill="1" applyBorder="1" applyProtection="1">
      <alignment horizontal="center" vertical="center"/>
      <protection/>
    </xf>
    <xf numFmtId="0" fontId="1" fillId="0" borderId="0" xfId="76" applyNumberFormat="1" applyFill="1" applyBorder="1" applyProtection="1">
      <alignment horizontal="center" vertical="center"/>
      <protection/>
    </xf>
    <xf numFmtId="0" fontId="1" fillId="0" borderId="0" xfId="54" applyNumberFormat="1" applyFill="1" applyBorder="1" applyProtection="1">
      <alignment horizontal="center" vertical="center"/>
      <protection/>
    </xf>
    <xf numFmtId="0" fontId="39" fillId="0" borderId="0" xfId="0" applyFont="1" applyAlignment="1" applyProtection="1">
      <alignment/>
      <protection/>
    </xf>
    <xf numFmtId="0" fontId="11" fillId="40" borderId="0" xfId="0" applyFont="1" applyFill="1" applyBorder="1" applyAlignment="1" applyProtection="1">
      <alignment horizontal="center" vertical="top"/>
      <protection/>
    </xf>
    <xf numFmtId="0" fontId="11" fillId="54" borderId="0" xfId="0" applyFont="1" applyFill="1" applyBorder="1" applyAlignment="1" applyProtection="1">
      <alignment horizontal="center" vertical="top"/>
      <protection/>
    </xf>
    <xf numFmtId="0" fontId="39" fillId="55" borderId="0" xfId="0" applyFont="1" applyFill="1" applyAlignment="1" applyProtection="1">
      <alignment/>
      <protection/>
    </xf>
    <xf numFmtId="0" fontId="40" fillId="0" borderId="16" xfId="0" applyFont="1" applyFill="1"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 fillId="0" borderId="0" xfId="79" applyNumberFormat="1" applyFill="1" applyBorder="1" applyProtection="1">
      <alignment vertical="top"/>
      <protection/>
    </xf>
    <xf numFmtId="0" fontId="4" fillId="0" borderId="0" xfId="56" applyNumberFormat="1" applyFill="1" applyBorder="1" applyProtection="1">
      <alignment vertical="top"/>
      <protection/>
    </xf>
    <xf numFmtId="0" fontId="0" fillId="43" borderId="0" xfId="0" applyFont="1" applyFill="1" applyBorder="1" applyAlignment="1" applyProtection="1">
      <alignment/>
      <protection/>
    </xf>
    <xf numFmtId="10" fontId="3" fillId="43" borderId="0" xfId="71" applyNumberFormat="1" applyFont="1" applyFill="1" applyBorder="1" applyAlignment="1" applyProtection="1">
      <alignment horizontal="center"/>
      <protection/>
    </xf>
    <xf numFmtId="1" fontId="4" fillId="43" borderId="0" xfId="0" applyNumberFormat="1" applyFont="1" applyFill="1" applyBorder="1" applyAlignment="1" applyProtection="1">
      <alignment/>
      <protection/>
    </xf>
    <xf numFmtId="1" fontId="4" fillId="43" borderId="0" xfId="71" applyNumberFormat="1" applyFont="1" applyFill="1" applyBorder="1" applyAlignment="1" applyProtection="1">
      <alignment horizontal="center"/>
      <protection/>
    </xf>
    <xf numFmtId="9" fontId="0" fillId="43" borderId="0" xfId="0" applyNumberFormat="1" applyFill="1" applyBorder="1" applyAlignment="1" applyProtection="1">
      <alignment horizontal="center"/>
      <protection/>
    </xf>
    <xf numFmtId="9" fontId="32" fillId="43" borderId="0" xfId="0" applyNumberFormat="1" applyFont="1" applyFill="1" applyBorder="1" applyAlignment="1" applyProtection="1">
      <alignment horizontal="center"/>
      <protection/>
    </xf>
    <xf numFmtId="0" fontId="3" fillId="48" borderId="30" xfId="0" applyFont="1" applyFill="1" applyBorder="1" applyAlignment="1" applyProtection="1">
      <alignment vertical="center"/>
      <protection/>
    </xf>
    <xf numFmtId="0" fontId="0" fillId="48" borderId="29" xfId="0" applyFill="1" applyBorder="1" applyAlignment="1" applyProtection="1">
      <alignment/>
      <protection/>
    </xf>
    <xf numFmtId="1" fontId="4" fillId="48" borderId="29" xfId="0" applyNumberFormat="1" applyFont="1" applyFill="1" applyBorder="1" applyAlignment="1" applyProtection="1">
      <alignment/>
      <protection/>
    </xf>
    <xf numFmtId="1" fontId="4" fillId="48" borderId="29" xfId="0" applyNumberFormat="1" applyFont="1" applyFill="1" applyBorder="1" applyAlignment="1" applyProtection="1">
      <alignment horizontal="center"/>
      <protection/>
    </xf>
    <xf numFmtId="1" fontId="0" fillId="48" borderId="29" xfId="0" applyNumberFormat="1" applyFont="1" applyFill="1" applyBorder="1" applyAlignment="1" applyProtection="1">
      <alignment horizontal="center"/>
      <protection/>
    </xf>
    <xf numFmtId="0" fontId="32" fillId="48" borderId="4" xfId="0" applyFont="1" applyFill="1" applyBorder="1" applyAlignment="1" applyProtection="1">
      <alignment horizontal="center"/>
      <protection/>
    </xf>
    <xf numFmtId="164" fontId="3" fillId="43" borderId="0" xfId="0" applyNumberFormat="1" applyFont="1" applyFill="1" applyBorder="1" applyAlignment="1" applyProtection="1">
      <alignment horizontal="center"/>
      <protection/>
    </xf>
    <xf numFmtId="1" fontId="4" fillId="43" borderId="0" xfId="0" applyNumberFormat="1" applyFont="1" applyFill="1" applyBorder="1" applyAlignment="1" applyProtection="1">
      <alignment horizontal="center"/>
      <protection/>
    </xf>
    <xf numFmtId="164" fontId="32" fillId="43" borderId="0" xfId="0" applyNumberFormat="1" applyFont="1" applyFill="1" applyBorder="1" applyAlignment="1" applyProtection="1">
      <alignment horizontal="center"/>
      <protection/>
    </xf>
    <xf numFmtId="0" fontId="3" fillId="48" borderId="29" xfId="0" applyFont="1" applyFill="1" applyBorder="1" applyAlignment="1" applyProtection="1">
      <alignment vertical="top"/>
      <protection/>
    </xf>
    <xf numFmtId="0" fontId="3" fillId="48" borderId="29" xfId="0" applyFont="1" applyFill="1" applyBorder="1" applyAlignment="1" applyProtection="1">
      <alignment horizontal="center" vertical="top"/>
      <protection/>
    </xf>
    <xf numFmtId="1" fontId="4" fillId="48" borderId="29" xfId="0" applyNumberFormat="1" applyFont="1" applyFill="1" applyBorder="1" applyAlignment="1" applyProtection="1">
      <alignment vertical="top"/>
      <protection/>
    </xf>
    <xf numFmtId="1" fontId="4" fillId="48" borderId="29" xfId="0" applyNumberFormat="1" applyFont="1" applyFill="1" applyBorder="1" applyAlignment="1" applyProtection="1">
      <alignment horizontal="center" vertical="top"/>
      <protection/>
    </xf>
    <xf numFmtId="1" fontId="0" fillId="48" borderId="29" xfId="0" applyNumberFormat="1" applyFont="1" applyFill="1" applyBorder="1" applyAlignment="1" applyProtection="1">
      <alignment horizontal="center" vertical="top"/>
      <protection/>
    </xf>
    <xf numFmtId="0" fontId="38" fillId="48" borderId="4" xfId="0" applyFont="1" applyFill="1" applyBorder="1" applyAlignment="1" applyProtection="1">
      <alignment horizontal="center" vertical="top"/>
      <protection/>
    </xf>
    <xf numFmtId="173" fontId="3" fillId="43" borderId="0" xfId="0" applyNumberFormat="1" applyFont="1" applyFill="1" applyBorder="1" applyAlignment="1" applyProtection="1">
      <alignment horizontal="center"/>
      <protection/>
    </xf>
    <xf numFmtId="0" fontId="3" fillId="48" borderId="29" xfId="0" applyFont="1" applyFill="1" applyBorder="1" applyAlignment="1" applyProtection="1">
      <alignment vertical="center"/>
      <protection/>
    </xf>
    <xf numFmtId="0" fontId="32" fillId="48" borderId="4" xfId="0" applyFont="1" applyFill="1" applyBorder="1" applyAlignment="1" applyProtection="1">
      <alignment horizontal="center" vertical="center"/>
      <protection/>
    </xf>
    <xf numFmtId="1" fontId="0" fillId="43" borderId="1" xfId="0" applyNumberFormat="1" applyFont="1" applyFill="1" applyBorder="1" applyAlignment="1" applyProtection="1">
      <alignment/>
      <protection/>
    </xf>
    <xf numFmtId="0" fontId="30" fillId="43" borderId="1" xfId="0" applyFont="1" applyFill="1" applyBorder="1" applyAlignment="1" applyProtection="1">
      <alignment horizontal="center"/>
      <protection/>
    </xf>
    <xf numFmtId="0" fontId="0" fillId="48" borderId="0" xfId="0" applyFill="1" applyAlignment="1">
      <alignment/>
    </xf>
    <xf numFmtId="0" fontId="0" fillId="0" borderId="0" xfId="0" applyFill="1" applyBorder="1" applyAlignment="1">
      <alignment/>
    </xf>
    <xf numFmtId="0" fontId="43" fillId="43" borderId="0" xfId="0" applyFont="1" applyFill="1" applyBorder="1" applyAlignment="1">
      <alignment horizontal="center" vertical="center"/>
    </xf>
    <xf numFmtId="0" fontId="0" fillId="43" borderId="0" xfId="0" applyFill="1" applyBorder="1" applyAlignment="1">
      <alignment horizontal="center" vertical="center"/>
    </xf>
    <xf numFmtId="0" fontId="0" fillId="43" borderId="13" xfId="0" applyFill="1" applyBorder="1" applyAlignment="1">
      <alignment horizontal="center" vertical="center"/>
    </xf>
    <xf numFmtId="0" fontId="0" fillId="43" borderId="14" xfId="0" applyFill="1" applyBorder="1" applyAlignment="1">
      <alignment horizontal="center" vertical="center"/>
    </xf>
    <xf numFmtId="0" fontId="3" fillId="43" borderId="18" xfId="0" applyFont="1" applyFill="1" applyBorder="1" applyAlignment="1">
      <alignment horizontal="left"/>
    </xf>
    <xf numFmtId="0" fontId="0" fillId="43" borderId="1" xfId="0" applyFill="1" applyBorder="1" applyAlignment="1">
      <alignment horizontal="left"/>
    </xf>
    <xf numFmtId="0" fontId="3" fillId="43" borderId="15" xfId="0" applyFont="1" applyFill="1" applyBorder="1" applyAlignment="1">
      <alignment horizontal="left"/>
    </xf>
    <xf numFmtId="0" fontId="0" fillId="43" borderId="0" xfId="0" applyFill="1" applyBorder="1" applyAlignment="1">
      <alignment horizontal="left"/>
    </xf>
    <xf numFmtId="0" fontId="0" fillId="43" borderId="16" xfId="0" applyFill="1" applyBorder="1" applyAlignment="1">
      <alignment horizontal="center" vertical="center"/>
    </xf>
    <xf numFmtId="0" fontId="44" fillId="43" borderId="1" xfId="0" applyFont="1" applyFill="1" applyBorder="1" applyAlignment="1">
      <alignment horizontal="left"/>
    </xf>
    <xf numFmtId="0" fontId="0" fillId="43" borderId="1" xfId="0" applyFill="1" applyBorder="1" applyAlignment="1">
      <alignment/>
    </xf>
    <xf numFmtId="0" fontId="0" fillId="43" borderId="19" xfId="0" applyFill="1" applyBorder="1" applyAlignment="1">
      <alignment/>
    </xf>
    <xf numFmtId="0" fontId="3" fillId="43" borderId="0" xfId="0" applyFont="1" applyFill="1" applyBorder="1" applyAlignment="1">
      <alignment horizontal="left"/>
    </xf>
    <xf numFmtId="0" fontId="44" fillId="43" borderId="0" xfId="0" applyFont="1" applyFill="1" applyBorder="1" applyAlignment="1">
      <alignment horizontal="left"/>
    </xf>
    <xf numFmtId="0" fontId="0" fillId="43" borderId="0" xfId="0" applyFill="1" applyBorder="1" applyAlignment="1">
      <alignment/>
    </xf>
    <xf numFmtId="0" fontId="3" fillId="48" borderId="30" xfId="0" applyFont="1" applyFill="1" applyBorder="1" applyAlignment="1">
      <alignment horizontal="left"/>
    </xf>
    <xf numFmtId="0" fontId="47" fillId="43" borderId="0" xfId="0" applyFont="1" applyFill="1" applyBorder="1" applyAlignment="1">
      <alignment horizontal="left"/>
    </xf>
    <xf numFmtId="0" fontId="39" fillId="43" borderId="0" xfId="0" applyFont="1" applyFill="1" applyBorder="1" applyAlignment="1">
      <alignment horizontal="left"/>
    </xf>
    <xf numFmtId="0" fontId="39" fillId="43" borderId="0" xfId="0" applyFont="1" applyFill="1" applyBorder="1" applyAlignment="1">
      <alignment/>
    </xf>
    <xf numFmtId="0" fontId="3" fillId="48" borderId="12" xfId="0" applyFont="1" applyFill="1" applyBorder="1" applyAlignment="1">
      <alignment horizontal="left" vertical="top" wrapText="1"/>
    </xf>
    <xf numFmtId="0" fontId="3" fillId="48" borderId="13" xfId="0" applyFont="1" applyFill="1" applyBorder="1" applyAlignment="1">
      <alignment horizontal="center" vertical="top" wrapText="1"/>
    </xf>
    <xf numFmtId="0" fontId="3" fillId="48" borderId="14" xfId="0" applyFont="1" applyFill="1" applyBorder="1" applyAlignment="1">
      <alignment horizontal="center" vertical="top" wrapText="1"/>
    </xf>
    <xf numFmtId="0" fontId="3" fillId="43" borderId="15" xfId="0" applyFont="1" applyFill="1" applyBorder="1" applyAlignment="1">
      <alignment vertical="center"/>
    </xf>
    <xf numFmtId="0" fontId="0" fillId="43" borderId="0" xfId="0" applyFont="1" applyFill="1" applyBorder="1" applyAlignment="1">
      <alignment horizontal="center" vertical="center"/>
    </xf>
    <xf numFmtId="0" fontId="0" fillId="43" borderId="0" xfId="0" applyFill="1" applyBorder="1" applyAlignment="1">
      <alignment horizontal="center" vertical="center" wrapText="1"/>
    </xf>
    <xf numFmtId="0" fontId="3" fillId="48" borderId="15" xfId="0" applyFont="1" applyFill="1" applyBorder="1" applyAlignment="1">
      <alignment vertical="center"/>
    </xf>
    <xf numFmtId="0" fontId="0" fillId="48" borderId="0" xfId="0" applyFill="1" applyBorder="1" applyAlignment="1">
      <alignment horizontal="center" vertical="center"/>
    </xf>
    <xf numFmtId="0" fontId="0" fillId="48" borderId="0" xfId="0" applyFont="1" applyFill="1" applyBorder="1" applyAlignment="1">
      <alignment horizontal="center" vertical="center"/>
    </xf>
    <xf numFmtId="0" fontId="0" fillId="48" borderId="16" xfId="0" applyFill="1" applyBorder="1" applyAlignment="1">
      <alignment horizontal="center" vertical="center"/>
    </xf>
    <xf numFmtId="0" fontId="3" fillId="43" borderId="18" xfId="0" applyFont="1" applyFill="1" applyBorder="1" applyAlignment="1">
      <alignment vertical="center"/>
    </xf>
    <xf numFmtId="0" fontId="0" fillId="43" borderId="1" xfId="0" applyFont="1" applyFill="1" applyBorder="1" applyAlignment="1">
      <alignment horizontal="center" vertical="center"/>
    </xf>
    <xf numFmtId="0" fontId="0" fillId="43" borderId="0" xfId="0" applyFont="1" applyFill="1" applyBorder="1" applyAlignment="1">
      <alignment/>
    </xf>
    <xf numFmtId="0" fontId="3" fillId="0" borderId="30" xfId="0" applyFont="1" applyFill="1" applyBorder="1" applyAlignment="1">
      <alignment/>
    </xf>
    <xf numFmtId="0" fontId="0" fillId="0" borderId="29" xfId="0" applyFont="1" applyFill="1" applyBorder="1" applyAlignment="1">
      <alignment horizontal="center"/>
    </xf>
    <xf numFmtId="0" fontId="0" fillId="0" borderId="4" xfId="0" applyFill="1" applyBorder="1" applyAlignment="1">
      <alignment/>
    </xf>
    <xf numFmtId="0" fontId="0" fillId="43" borderId="15" xfId="0" applyFont="1" applyFill="1" applyBorder="1" applyAlignment="1">
      <alignment/>
    </xf>
    <xf numFmtId="0" fontId="0" fillId="43" borderId="29" xfId="0" applyFill="1" applyBorder="1" applyAlignment="1">
      <alignment/>
    </xf>
    <xf numFmtId="0" fontId="0" fillId="43" borderId="12" xfId="0" applyFont="1" applyFill="1" applyBorder="1" applyAlignment="1">
      <alignment/>
    </xf>
    <xf numFmtId="0" fontId="0" fillId="43" borderId="29" xfId="0" applyFont="1" applyFill="1" applyBorder="1" applyAlignment="1">
      <alignment/>
    </xf>
    <xf numFmtId="0" fontId="0" fillId="0" borderId="29" xfId="0" applyFont="1" applyFill="1" applyBorder="1" applyAlignment="1">
      <alignment horizontal="right"/>
    </xf>
    <xf numFmtId="166" fontId="0" fillId="43" borderId="13" xfId="0" applyNumberFormat="1" applyFont="1" applyFill="1" applyBorder="1" applyAlignment="1">
      <alignment horizontal="center"/>
    </xf>
    <xf numFmtId="165" fontId="0" fillId="43" borderId="0" xfId="0" applyNumberFormat="1" applyFill="1" applyBorder="1" applyAlignment="1">
      <alignment horizontal="center"/>
    </xf>
    <xf numFmtId="165" fontId="3" fillId="43" borderId="0" xfId="0" applyNumberFormat="1" applyFont="1" applyFill="1" applyBorder="1" applyAlignment="1">
      <alignment horizontal="center"/>
    </xf>
    <xf numFmtId="0" fontId="0" fillId="0" borderId="18" xfId="0" applyBorder="1" applyAlignment="1">
      <alignment/>
    </xf>
    <xf numFmtId="0" fontId="3" fillId="0" borderId="25" xfId="0" applyFont="1" applyBorder="1" applyAlignment="1" applyProtection="1">
      <alignment/>
      <protection/>
    </xf>
    <xf numFmtId="2" fontId="0" fillId="54" borderId="25" xfId="0" applyNumberFormat="1" applyFill="1" applyBorder="1" applyAlignment="1" applyProtection="1">
      <alignment/>
      <protection/>
    </xf>
    <xf numFmtId="164" fontId="0" fillId="54" borderId="25" xfId="0" applyNumberFormat="1" applyFill="1" applyBorder="1" applyAlignment="1" applyProtection="1">
      <alignment/>
      <protection/>
    </xf>
    <xf numFmtId="174" fontId="0" fillId="0" borderId="25" xfId="0" applyNumberFormat="1" applyFill="1" applyBorder="1" applyAlignment="1" applyProtection="1">
      <alignment/>
      <protection/>
    </xf>
    <xf numFmtId="2" fontId="0" fillId="0" borderId="25" xfId="0" applyNumberFormat="1" applyFill="1" applyBorder="1" applyAlignment="1" applyProtection="1">
      <alignment/>
      <protection/>
    </xf>
    <xf numFmtId="164" fontId="0" fillId="0" borderId="25" xfId="0" applyNumberFormat="1" applyFill="1" applyBorder="1" applyAlignment="1" applyProtection="1">
      <alignment/>
      <protection/>
    </xf>
    <xf numFmtId="0" fontId="50" fillId="48" borderId="4" xfId="0" applyFont="1" applyFill="1" applyBorder="1" applyAlignment="1" applyProtection="1">
      <alignment horizontal="center" vertical="center"/>
      <protection/>
    </xf>
    <xf numFmtId="0" fontId="46" fillId="43" borderId="27" xfId="0" applyFont="1" applyFill="1" applyBorder="1" applyAlignment="1" applyProtection="1">
      <alignment horizontal="center" vertical="center"/>
      <protection/>
    </xf>
    <xf numFmtId="0" fontId="3" fillId="43" borderId="12" xfId="64" applyNumberFormat="1" applyFont="1" applyFill="1" applyBorder="1" applyAlignment="1" applyProtection="1">
      <alignment vertical="center"/>
      <protection/>
    </xf>
    <xf numFmtId="0" fontId="51" fillId="48" borderId="12" xfId="0" applyFont="1" applyFill="1" applyBorder="1" applyAlignment="1" applyProtection="1">
      <alignment horizontal="left" vertical="center"/>
      <protection/>
    </xf>
    <xf numFmtId="0" fontId="25" fillId="48" borderId="29" xfId="0" applyFont="1" applyFill="1" applyBorder="1" applyAlignment="1" applyProtection="1">
      <alignment horizontal="center"/>
      <protection/>
    </xf>
    <xf numFmtId="0" fontId="25" fillId="48" borderId="4" xfId="0" applyFont="1" applyFill="1" applyBorder="1" applyAlignment="1" applyProtection="1">
      <alignment horizontal="center"/>
      <protection/>
    </xf>
    <xf numFmtId="0" fontId="0" fillId="43" borderId="27" xfId="0" applyFill="1" applyBorder="1" applyAlignment="1" applyProtection="1">
      <alignment vertical="center"/>
      <protection/>
    </xf>
    <xf numFmtId="0" fontId="0" fillId="0" borderId="0" xfId="50" applyNumberFormat="1" applyFill="1" applyBorder="1" applyAlignment="1" applyProtection="1">
      <alignment vertical="center"/>
      <protection/>
    </xf>
    <xf numFmtId="0" fontId="3" fillId="48" borderId="25" xfId="0" applyFont="1" applyFill="1" applyBorder="1" applyAlignment="1" applyProtection="1">
      <alignment/>
      <protection/>
    </xf>
    <xf numFmtId="3" fontId="3" fillId="48" borderId="25" xfId="0" applyNumberFormat="1" applyFont="1" applyFill="1" applyBorder="1" applyAlignment="1" applyProtection="1">
      <alignment/>
      <protection/>
    </xf>
    <xf numFmtId="166" fontId="0" fillId="0" borderId="25" xfId="0" applyNumberFormat="1" applyBorder="1" applyAlignment="1" applyProtection="1">
      <alignment/>
      <protection/>
    </xf>
    <xf numFmtId="175" fontId="0" fillId="0" borderId="25" xfId="0" applyNumberFormat="1" applyBorder="1" applyAlignment="1" applyProtection="1">
      <alignment/>
      <protection/>
    </xf>
    <xf numFmtId="166" fontId="3" fillId="0" borderId="25" xfId="0" applyNumberFormat="1" applyFont="1" applyBorder="1" applyAlignment="1" applyProtection="1">
      <alignment/>
      <protection/>
    </xf>
    <xf numFmtId="166" fontId="0" fillId="0" borderId="30" xfId="0" applyNumberFormat="1" applyBorder="1" applyAlignment="1" applyProtection="1">
      <alignment/>
      <protection/>
    </xf>
    <xf numFmtId="166" fontId="0" fillId="0" borderId="29" xfId="0" applyNumberFormat="1" applyBorder="1" applyAlignment="1" applyProtection="1">
      <alignment/>
      <protection/>
    </xf>
    <xf numFmtId="164" fontId="0" fillId="0" borderId="29" xfId="0" applyNumberFormat="1" applyBorder="1" applyAlignment="1" applyProtection="1">
      <alignment/>
      <protection/>
    </xf>
    <xf numFmtId="166" fontId="0" fillId="0" borderId="4" xfId="0" applyNumberFormat="1" applyBorder="1" applyAlignment="1" applyProtection="1">
      <alignment/>
      <protection/>
    </xf>
    <xf numFmtId="166" fontId="3" fillId="48" borderId="25" xfId="0" applyNumberFormat="1" applyFont="1" applyFill="1" applyBorder="1" applyAlignment="1" applyProtection="1">
      <alignment/>
      <protection/>
    </xf>
    <xf numFmtId="164" fontId="3" fillId="48" borderId="25" xfId="0" applyNumberFormat="1" applyFont="1" applyFill="1" applyBorder="1" applyAlignment="1" applyProtection="1">
      <alignment/>
      <protection/>
    </xf>
    <xf numFmtId="166" fontId="0" fillId="0" borderId="25" xfId="0" applyNumberFormat="1" applyFill="1" applyBorder="1" applyAlignment="1" applyProtection="1">
      <alignment/>
      <protection/>
    </xf>
    <xf numFmtId="176" fontId="0" fillId="0" borderId="25" xfId="0" applyNumberFormat="1" applyFill="1" applyBorder="1" applyAlignment="1" applyProtection="1">
      <alignment/>
      <protection/>
    </xf>
    <xf numFmtId="164" fontId="0" fillId="46" borderId="19" xfId="0" applyNumberFormat="1" applyFont="1" applyFill="1" applyBorder="1" applyAlignment="1" applyProtection="1">
      <alignment horizontal="center"/>
      <protection locked="0"/>
    </xf>
    <xf numFmtId="3" fontId="0" fillId="46" borderId="13" xfId="0" applyNumberFormat="1" applyFill="1" applyBorder="1" applyAlignment="1" applyProtection="1">
      <alignment horizontal="center"/>
      <protection locked="0"/>
    </xf>
    <xf numFmtId="0" fontId="52" fillId="43" borderId="15" xfId="0" applyFont="1" applyFill="1" applyBorder="1" applyAlignment="1" applyProtection="1">
      <alignment/>
      <protection/>
    </xf>
    <xf numFmtId="3" fontId="0" fillId="46" borderId="0" xfId="0" applyNumberFormat="1" applyFill="1" applyBorder="1" applyAlignment="1" applyProtection="1">
      <alignment horizontal="center"/>
      <protection locked="0"/>
    </xf>
    <xf numFmtId="3" fontId="0" fillId="46" borderId="16" xfId="0" applyNumberFormat="1" applyFill="1" applyBorder="1" applyAlignment="1" applyProtection="1">
      <alignment horizontal="center"/>
      <protection locked="0"/>
    </xf>
    <xf numFmtId="176" fontId="3" fillId="0" borderId="25" xfId="0" applyNumberFormat="1" applyFont="1" applyBorder="1" applyAlignment="1" applyProtection="1">
      <alignment/>
      <protection/>
    </xf>
    <xf numFmtId="0" fontId="0" fillId="0" borderId="1" xfId="0" applyBorder="1" applyAlignment="1" applyProtection="1">
      <alignment/>
      <protection/>
    </xf>
    <xf numFmtId="3" fontId="3" fillId="40" borderId="1" xfId="78" applyFill="1" applyBorder="1" applyProtection="1">
      <alignment horizontal="center"/>
      <protection/>
    </xf>
    <xf numFmtId="3" fontId="0" fillId="43" borderId="1" xfId="0" applyNumberFormat="1" applyFill="1" applyBorder="1" applyAlignment="1" applyProtection="1">
      <alignment horizontal="center"/>
      <protection/>
    </xf>
    <xf numFmtId="3" fontId="0" fillId="43" borderId="19" xfId="0" applyNumberFormat="1" applyFont="1" applyFill="1" applyBorder="1" applyAlignment="1" applyProtection="1">
      <alignment horizontal="center"/>
      <protection/>
    </xf>
    <xf numFmtId="0" fontId="0" fillId="0" borderId="0" xfId="64" applyNumberFormat="1" applyFill="1" applyBorder="1" applyAlignment="1" applyProtection="1">
      <alignment/>
      <protection/>
    </xf>
    <xf numFmtId="0" fontId="3" fillId="43" borderId="18" xfId="0" applyFont="1" applyFill="1" applyBorder="1" applyAlignment="1" applyProtection="1">
      <alignment horizontal="center"/>
      <protection/>
    </xf>
    <xf numFmtId="3" fontId="3" fillId="43" borderId="1" xfId="0" applyNumberFormat="1" applyFont="1" applyFill="1" applyBorder="1" applyAlignment="1" applyProtection="1">
      <alignment horizontal="center"/>
      <protection/>
    </xf>
    <xf numFmtId="3" fontId="53" fillId="43" borderId="1" xfId="0" applyNumberFormat="1" applyFont="1" applyFill="1" applyBorder="1" applyAlignment="1" applyProtection="1">
      <alignment horizontal="right"/>
      <protection/>
    </xf>
    <xf numFmtId="1" fontId="53" fillId="43" borderId="19" xfId="0" applyNumberFormat="1" applyFont="1" applyFill="1" applyBorder="1" applyAlignment="1" applyProtection="1">
      <alignment/>
      <protection/>
    </xf>
    <xf numFmtId="3" fontId="0" fillId="33" borderId="25" xfId="0" applyNumberFormat="1" applyFill="1" applyBorder="1" applyAlignment="1" applyProtection="1">
      <alignment horizontal="right"/>
      <protection/>
    </xf>
    <xf numFmtId="1" fontId="0" fillId="56" borderId="25" xfId="0" applyNumberFormat="1" applyFill="1" applyBorder="1" applyAlignment="1" applyProtection="1">
      <alignment/>
      <protection/>
    </xf>
    <xf numFmtId="166" fontId="0" fillId="43" borderId="13" xfId="0" applyNumberFormat="1" applyFill="1" applyBorder="1" applyAlignment="1" applyProtection="1">
      <alignment horizontal="center"/>
      <protection/>
    </xf>
    <xf numFmtId="164" fontId="0" fillId="43" borderId="13" xfId="0" applyNumberFormat="1" applyFill="1" applyBorder="1" applyAlignment="1" applyProtection="1">
      <alignment horizontal="center"/>
      <protection/>
    </xf>
    <xf numFmtId="166" fontId="0" fillId="43" borderId="14" xfId="0" applyNumberFormat="1" applyFill="1" applyBorder="1" applyAlignment="1" applyProtection="1">
      <alignment/>
      <protection/>
    </xf>
    <xf numFmtId="166" fontId="0" fillId="43" borderId="0" xfId="0" applyNumberFormat="1" applyFont="1" applyFill="1" applyBorder="1" applyAlignment="1" applyProtection="1">
      <alignment horizontal="center"/>
      <protection/>
    </xf>
    <xf numFmtId="164" fontId="3" fillId="43" borderId="18" xfId="0" applyNumberFormat="1" applyFont="1" applyFill="1" applyBorder="1" applyAlignment="1" applyProtection="1">
      <alignment horizontal="left"/>
      <protection/>
    </xf>
    <xf numFmtId="164" fontId="0" fillId="43" borderId="1" xfId="0" applyNumberFormat="1" applyFill="1" applyBorder="1" applyAlignment="1" applyProtection="1">
      <alignment/>
      <protection/>
    </xf>
    <xf numFmtId="9" fontId="0" fillId="43" borderId="1" xfId="0" applyNumberFormat="1" applyFill="1" applyBorder="1" applyAlignment="1" applyProtection="1">
      <alignment/>
      <protection/>
    </xf>
    <xf numFmtId="166" fontId="3" fillId="43" borderId="19" xfId="0" applyNumberFormat="1" applyFont="1" applyFill="1" applyBorder="1" applyAlignment="1" applyProtection="1">
      <alignment/>
      <protection/>
    </xf>
    <xf numFmtId="0" fontId="0" fillId="43" borderId="25" xfId="0" applyFill="1" applyBorder="1" applyAlignment="1" applyProtection="1">
      <alignment/>
      <protection/>
    </xf>
    <xf numFmtId="0" fontId="6" fillId="43" borderId="25" xfId="0" applyFont="1" applyFill="1" applyBorder="1" applyAlignment="1" applyProtection="1">
      <alignment/>
      <protection/>
    </xf>
    <xf numFmtId="0" fontId="0" fillId="46" borderId="13" xfId="0" applyFill="1" applyBorder="1" applyAlignment="1" applyProtection="1">
      <alignment horizontal="center"/>
      <protection locked="0"/>
    </xf>
    <xf numFmtId="0" fontId="0" fillId="46" borderId="0" xfId="0" applyFill="1" applyBorder="1" applyAlignment="1" applyProtection="1">
      <alignment horizontal="center"/>
      <protection locked="0"/>
    </xf>
    <xf numFmtId="164" fontId="25" fillId="48" borderId="25" xfId="0" applyNumberFormat="1" applyFont="1" applyFill="1" applyBorder="1" applyAlignment="1" applyProtection="1">
      <alignment horizontal="center"/>
      <protection/>
    </xf>
    <xf numFmtId="0" fontId="0" fillId="50" borderId="25" xfId="0" applyFont="1" applyFill="1" applyBorder="1" applyAlignment="1" applyProtection="1">
      <alignment/>
      <protection/>
    </xf>
    <xf numFmtId="0" fontId="0" fillId="50" borderId="25" xfId="0" applyFill="1" applyBorder="1" applyAlignment="1" applyProtection="1">
      <alignment/>
      <protection/>
    </xf>
    <xf numFmtId="1" fontId="0" fillId="46" borderId="0" xfId="0" applyNumberFormat="1" applyFill="1" applyBorder="1" applyAlignment="1" applyProtection="1">
      <alignment horizontal="center"/>
      <protection locked="0"/>
    </xf>
    <xf numFmtId="1" fontId="0" fillId="46" borderId="16" xfId="0" applyNumberFormat="1" applyFill="1" applyBorder="1" applyAlignment="1" applyProtection="1">
      <alignment horizontal="center"/>
      <protection locked="0"/>
    </xf>
    <xf numFmtId="164" fontId="0" fillId="43" borderId="25" xfId="0" applyNumberFormat="1" applyFont="1" applyFill="1" applyBorder="1" applyAlignment="1" applyProtection="1">
      <alignment/>
      <protection/>
    </xf>
    <xf numFmtId="164" fontId="0" fillId="50" borderId="25" xfId="0" applyNumberFormat="1" applyFill="1" applyBorder="1" applyAlignment="1" applyProtection="1">
      <alignment/>
      <protection/>
    </xf>
    <xf numFmtId="0" fontId="0" fillId="43" borderId="16" xfId="0" applyFont="1" applyFill="1" applyBorder="1" applyAlignment="1" applyProtection="1">
      <alignment horizontal="left"/>
      <protection/>
    </xf>
    <xf numFmtId="1" fontId="0" fillId="50" borderId="25" xfId="0" applyNumberFormat="1" applyFill="1" applyBorder="1" applyAlignment="1" applyProtection="1">
      <alignment/>
      <protection/>
    </xf>
    <xf numFmtId="2" fontId="0" fillId="46" borderId="1" xfId="0" applyNumberFormat="1" applyFill="1" applyBorder="1" applyAlignment="1" applyProtection="1">
      <alignment horizontal="center"/>
      <protection locked="0"/>
    </xf>
    <xf numFmtId="2" fontId="0" fillId="46" borderId="19" xfId="0" applyNumberFormat="1" applyFill="1" applyBorder="1" applyAlignment="1" applyProtection="1">
      <alignment horizontal="center"/>
      <protection locked="0"/>
    </xf>
    <xf numFmtId="3" fontId="3" fillId="43" borderId="0" xfId="0" applyNumberFormat="1" applyFont="1" applyFill="1" applyBorder="1" applyAlignment="1" applyProtection="1">
      <alignment horizontal="center"/>
      <protection/>
    </xf>
    <xf numFmtId="3" fontId="0" fillId="43" borderId="0" xfId="0" applyNumberFormat="1" applyFill="1" applyBorder="1" applyAlignment="1" applyProtection="1">
      <alignment/>
      <protection/>
    </xf>
    <xf numFmtId="3" fontId="0" fillId="43" borderId="0" xfId="0" applyNumberFormat="1" applyFont="1" applyFill="1" applyBorder="1" applyAlignment="1" applyProtection="1">
      <alignment/>
      <protection/>
    </xf>
    <xf numFmtId="0" fontId="54" fillId="50" borderId="25" xfId="0" applyFont="1" applyFill="1" applyBorder="1" applyAlignment="1" applyProtection="1">
      <alignment/>
      <protection/>
    </xf>
    <xf numFmtId="164" fontId="54" fillId="50" borderId="25" xfId="0" applyNumberFormat="1" applyFont="1" applyFill="1" applyBorder="1" applyAlignment="1" applyProtection="1">
      <alignment/>
      <protection/>
    </xf>
    <xf numFmtId="2" fontId="0" fillId="43" borderId="13" xfId="0" applyNumberFormat="1" applyFill="1" applyBorder="1" applyAlignment="1" applyProtection="1">
      <alignment horizontal="center"/>
      <protection/>
    </xf>
    <xf numFmtId="2" fontId="0" fillId="43" borderId="14" xfId="0" applyNumberFormat="1" applyFill="1" applyBorder="1" applyAlignment="1" applyProtection="1">
      <alignment horizontal="center"/>
      <protection/>
    </xf>
    <xf numFmtId="2" fontId="0" fillId="43" borderId="0" xfId="0" applyNumberFormat="1" applyFill="1" applyBorder="1" applyAlignment="1" applyProtection="1">
      <alignment horizontal="center"/>
      <protection/>
    </xf>
    <xf numFmtId="2" fontId="0" fillId="43" borderId="16" xfId="0" applyNumberFormat="1" applyFill="1" applyBorder="1" applyAlignment="1" applyProtection="1">
      <alignment horizontal="center"/>
      <protection/>
    </xf>
    <xf numFmtId="164" fontId="0" fillId="43" borderId="1" xfId="0" applyNumberFormat="1" applyFill="1" applyBorder="1" applyAlignment="1" applyProtection="1">
      <alignment horizontal="center"/>
      <protection/>
    </xf>
    <xf numFmtId="164" fontId="0" fillId="43" borderId="19" xfId="0" applyNumberFormat="1" applyFill="1" applyBorder="1" applyAlignment="1" applyProtection="1">
      <alignment horizontal="center"/>
      <protection/>
    </xf>
    <xf numFmtId="0" fontId="0" fillId="43" borderId="0" xfId="0" applyFont="1" applyFill="1" applyBorder="1" applyAlignment="1" applyProtection="1">
      <alignment horizontal="left"/>
      <protection/>
    </xf>
    <xf numFmtId="164" fontId="0" fillId="43" borderId="14" xfId="0" applyNumberFormat="1" applyFill="1" applyBorder="1" applyAlignment="1" applyProtection="1">
      <alignment horizontal="center"/>
      <protection/>
    </xf>
    <xf numFmtId="0" fontId="0" fillId="43" borderId="18" xfId="0" applyFont="1" applyFill="1" applyBorder="1" applyAlignment="1" applyProtection="1">
      <alignment/>
      <protection/>
    </xf>
    <xf numFmtId="164" fontId="6" fillId="43" borderId="1" xfId="0" applyNumberFormat="1" applyFont="1" applyFill="1" applyBorder="1" applyAlignment="1" applyProtection="1">
      <alignment horizontal="center"/>
      <protection/>
    </xf>
    <xf numFmtId="164" fontId="6" fillId="43" borderId="19" xfId="0" applyNumberFormat="1" applyFont="1" applyFill="1" applyBorder="1" applyAlignment="1" applyProtection="1">
      <alignment horizontal="center"/>
      <protection/>
    </xf>
    <xf numFmtId="1" fontId="0" fillId="43" borderId="14" xfId="0" applyNumberFormat="1" applyFill="1" applyBorder="1" applyAlignment="1" applyProtection="1">
      <alignment horizontal="center"/>
      <protection/>
    </xf>
    <xf numFmtId="1" fontId="0" fillId="43" borderId="16" xfId="0" applyNumberFormat="1" applyFill="1" applyBorder="1" applyAlignment="1" applyProtection="1">
      <alignment horizontal="center"/>
      <protection/>
    </xf>
    <xf numFmtId="0" fontId="0" fillId="0" borderId="0" xfId="72" applyNumberFormat="1" applyFill="1" applyBorder="1" applyAlignment="1">
      <alignment/>
      <protection/>
    </xf>
    <xf numFmtId="3" fontId="3" fillId="43" borderId="12" xfId="0" applyNumberFormat="1" applyFont="1" applyFill="1" applyBorder="1" applyAlignment="1" applyProtection="1">
      <alignment horizontal="left"/>
      <protection/>
    </xf>
    <xf numFmtId="3" fontId="3" fillId="43" borderId="13" xfId="0" applyNumberFormat="1" applyFont="1" applyFill="1" applyBorder="1" applyAlignment="1" applyProtection="1">
      <alignment horizontal="center"/>
      <protection/>
    </xf>
    <xf numFmtId="3" fontId="0" fillId="43" borderId="13" xfId="0" applyNumberFormat="1" applyFill="1" applyBorder="1" applyAlignment="1" applyProtection="1">
      <alignment/>
      <protection/>
    </xf>
    <xf numFmtId="3" fontId="0" fillId="43" borderId="14" xfId="55" applyFont="1" applyFill="1" applyBorder="1">
      <alignment horizontal="center"/>
      <protection/>
    </xf>
    <xf numFmtId="3" fontId="3" fillId="43" borderId="18" xfId="0" applyNumberFormat="1" applyFont="1" applyFill="1" applyBorder="1" applyAlignment="1" applyProtection="1">
      <alignment horizontal="left"/>
      <protection/>
    </xf>
    <xf numFmtId="3" fontId="0" fillId="43" borderId="1" xfId="0" applyNumberFormat="1" applyFill="1" applyBorder="1" applyAlignment="1" applyProtection="1">
      <alignment/>
      <protection/>
    </xf>
    <xf numFmtId="3" fontId="3" fillId="43" borderId="19" xfId="0" applyNumberFormat="1" applyFont="1" applyFill="1" applyBorder="1" applyAlignment="1" applyProtection="1">
      <alignment horizontal="center"/>
      <protection/>
    </xf>
    <xf numFmtId="0" fontId="57" fillId="43" borderId="15" xfId="0" applyFont="1" applyFill="1" applyBorder="1" applyAlignment="1" applyProtection="1">
      <alignment/>
      <protection/>
    </xf>
    <xf numFmtId="165" fontId="0" fillId="46" borderId="12" xfId="0" applyNumberFormat="1" applyFont="1" applyFill="1" applyBorder="1" applyAlignment="1" applyProtection="1">
      <alignment horizontal="center"/>
      <protection locked="0"/>
    </xf>
    <xf numFmtId="165" fontId="0" fillId="46" borderId="13" xfId="0" applyNumberFormat="1" applyFont="1" applyFill="1" applyBorder="1" applyAlignment="1" applyProtection="1">
      <alignment horizontal="center"/>
      <protection locked="0"/>
    </xf>
    <xf numFmtId="3" fontId="0" fillId="43" borderId="14" xfId="0" applyNumberFormat="1" applyFill="1" applyBorder="1" applyAlignment="1" applyProtection="1">
      <alignment horizontal="center"/>
      <protection/>
    </xf>
    <xf numFmtId="165" fontId="0" fillId="46" borderId="15" xfId="0" applyNumberFormat="1" applyFont="1" applyFill="1" applyBorder="1" applyAlignment="1" applyProtection="1">
      <alignment horizontal="center"/>
      <protection locked="0"/>
    </xf>
    <xf numFmtId="165" fontId="0" fillId="46" borderId="0" xfId="0" applyNumberFormat="1" applyFont="1" applyFill="1" applyBorder="1" applyAlignment="1" applyProtection="1">
      <alignment horizontal="center"/>
      <protection locked="0"/>
    </xf>
    <xf numFmtId="3" fontId="0" fillId="43" borderId="16" xfId="0" applyNumberFormat="1" applyFill="1" applyBorder="1" applyAlignment="1" applyProtection="1">
      <alignment horizontal="center"/>
      <protection/>
    </xf>
    <xf numFmtId="165" fontId="0" fillId="46" borderId="18" xfId="0" applyNumberFormat="1" applyFont="1" applyFill="1" applyBorder="1" applyAlignment="1" applyProtection="1">
      <alignment horizontal="center"/>
      <protection locked="0"/>
    </xf>
    <xf numFmtId="165" fontId="0" fillId="46" borderId="1" xfId="0" applyNumberFormat="1" applyFont="1" applyFill="1" applyBorder="1" applyAlignment="1" applyProtection="1">
      <alignment horizontal="center"/>
      <protection locked="0"/>
    </xf>
    <xf numFmtId="3" fontId="0" fillId="43" borderId="19" xfId="0" applyNumberFormat="1" applyFill="1" applyBorder="1" applyAlignment="1" applyProtection="1">
      <alignment horizontal="center"/>
      <protection/>
    </xf>
    <xf numFmtId="0" fontId="3" fillId="0" borderId="30" xfId="0" applyFont="1" applyFill="1" applyBorder="1" applyAlignment="1" applyProtection="1">
      <alignment vertical="center"/>
      <protection/>
    </xf>
    <xf numFmtId="0" fontId="25" fillId="0" borderId="29" xfId="0" applyFont="1" applyFill="1" applyBorder="1" applyAlignment="1" applyProtection="1">
      <alignment horizontal="center" vertical="center"/>
      <protection/>
    </xf>
    <xf numFmtId="3" fontId="3" fillId="0" borderId="4" xfId="0" applyNumberFormat="1" applyFont="1" applyFill="1" applyBorder="1" applyAlignment="1" applyProtection="1">
      <alignment horizontal="center" vertical="center"/>
      <protection/>
    </xf>
    <xf numFmtId="0" fontId="0" fillId="48" borderId="19" xfId="0" applyFill="1" applyBorder="1" applyAlignment="1" applyProtection="1">
      <alignment/>
      <protection/>
    </xf>
    <xf numFmtId="0" fontId="0" fillId="0" borderId="0" xfId="0" applyAlignment="1">
      <alignment horizontal="center"/>
    </xf>
    <xf numFmtId="0" fontId="0" fillId="43" borderId="13" xfId="0" applyFont="1" applyFill="1" applyBorder="1" applyAlignment="1">
      <alignment/>
    </xf>
    <xf numFmtId="0" fontId="0" fillId="0" borderId="0" xfId="0" applyFont="1" applyFill="1" applyBorder="1" applyAlignment="1">
      <alignment/>
    </xf>
    <xf numFmtId="0" fontId="0" fillId="0" borderId="29" xfId="0" applyFill="1" applyBorder="1" applyAlignment="1">
      <alignment/>
    </xf>
    <xf numFmtId="0" fontId="0" fillId="43" borderId="16" xfId="0" applyFill="1" applyBorder="1" applyAlignment="1">
      <alignment/>
    </xf>
    <xf numFmtId="0" fontId="0" fillId="0" borderId="0" xfId="0" applyAlignment="1">
      <alignment/>
    </xf>
    <xf numFmtId="0" fontId="3" fillId="48" borderId="20" xfId="0" applyFont="1" applyFill="1" applyBorder="1" applyAlignment="1">
      <alignment/>
    </xf>
    <xf numFmtId="0" fontId="3" fillId="48" borderId="0" xfId="0" applyFont="1" applyFill="1" applyBorder="1" applyAlignment="1">
      <alignment/>
    </xf>
    <xf numFmtId="0" fontId="3" fillId="48" borderId="21" xfId="0" applyFont="1" applyFill="1" applyBorder="1" applyAlignment="1">
      <alignment/>
    </xf>
    <xf numFmtId="0" fontId="18" fillId="48" borderId="20" xfId="0" applyFont="1" applyFill="1" applyBorder="1" applyAlignment="1">
      <alignment horizontal="right" vertical="top"/>
    </xf>
    <xf numFmtId="0" fontId="0" fillId="48" borderId="20" xfId="0" applyFill="1" applyBorder="1" applyAlignment="1">
      <alignment horizontal="right" vertical="top"/>
    </xf>
    <xf numFmtId="0" fontId="0" fillId="48" borderId="0" xfId="0" applyFill="1" applyBorder="1" applyAlignment="1">
      <alignment/>
    </xf>
    <xf numFmtId="0" fontId="20" fillId="48" borderId="21" xfId="0" applyFont="1" applyFill="1" applyBorder="1" applyAlignment="1">
      <alignment/>
    </xf>
    <xf numFmtId="0" fontId="20" fillId="48" borderId="0" xfId="0" applyFont="1" applyFill="1" applyBorder="1" applyAlignment="1">
      <alignment wrapText="1"/>
    </xf>
    <xf numFmtId="0" fontId="0" fillId="48" borderId="21" xfId="0" applyFill="1" applyBorder="1" applyAlignment="1">
      <alignment wrapText="1"/>
    </xf>
    <xf numFmtId="0" fontId="60" fillId="48" borderId="0" xfId="0" applyFont="1" applyFill="1" applyBorder="1" applyAlignment="1">
      <alignment horizontal="center" vertical="top"/>
    </xf>
    <xf numFmtId="0" fontId="19" fillId="48" borderId="21" xfId="0" applyFont="1" applyFill="1" applyBorder="1" applyAlignment="1">
      <alignment wrapText="1"/>
    </xf>
    <xf numFmtId="0" fontId="19" fillId="48" borderId="21" xfId="0" applyFont="1" applyFill="1" applyBorder="1" applyAlignment="1">
      <alignment horizontal="left" vertical="center" wrapText="1"/>
    </xf>
    <xf numFmtId="0" fontId="19" fillId="48" borderId="21" xfId="0" applyFont="1" applyFill="1" applyBorder="1" applyAlignment="1">
      <alignment horizontal="left" wrapText="1"/>
    </xf>
    <xf numFmtId="0" fontId="20" fillId="48" borderId="21" xfId="0" applyFont="1" applyFill="1" applyBorder="1" applyAlignment="1">
      <alignment horizontal="left" vertical="top" wrapText="1"/>
    </xf>
    <xf numFmtId="0" fontId="0" fillId="48" borderId="23" xfId="0" applyFill="1" applyBorder="1" applyAlignment="1">
      <alignment horizontal="right" vertical="top"/>
    </xf>
    <xf numFmtId="0" fontId="60" fillId="48" borderId="34" xfId="0" applyFont="1" applyFill="1" applyBorder="1" applyAlignment="1">
      <alignment horizontal="center" vertical="top"/>
    </xf>
    <xf numFmtId="0" fontId="19" fillId="48" borderId="24" xfId="0" applyFont="1" applyFill="1" applyBorder="1" applyAlignment="1">
      <alignment wrapText="1"/>
    </xf>
    <xf numFmtId="0" fontId="0" fillId="43" borderId="0" xfId="0" applyFill="1" applyBorder="1" applyAlignment="1">
      <alignment horizontal="right" vertical="top"/>
    </xf>
    <xf numFmtId="0" fontId="18" fillId="43" borderId="16" xfId="0" applyFont="1" applyFill="1" applyBorder="1" applyAlignment="1">
      <alignment horizontal="left" wrapText="1"/>
    </xf>
    <xf numFmtId="0" fontId="19" fillId="48" borderId="15" xfId="0" applyFont="1" applyFill="1" applyBorder="1" applyAlignment="1">
      <alignment horizontal="right" vertical="top" wrapText="1"/>
    </xf>
    <xf numFmtId="0" fontId="0" fillId="48" borderId="0" xfId="0" applyFill="1" applyBorder="1" applyAlignment="1">
      <alignment/>
    </xf>
    <xf numFmtId="0" fontId="0" fillId="48" borderId="16" xfId="0" applyFill="1" applyBorder="1" applyAlignment="1">
      <alignment/>
    </xf>
    <xf numFmtId="0" fontId="18" fillId="48" borderId="15" xfId="0" applyFont="1" applyFill="1" applyBorder="1" applyAlignment="1">
      <alignment horizontal="right" vertical="top"/>
    </xf>
    <xf numFmtId="0" fontId="3" fillId="48" borderId="16" xfId="0" applyFont="1" applyFill="1" applyBorder="1" applyAlignment="1">
      <alignment horizontal="left" vertical="top" wrapText="1"/>
    </xf>
    <xf numFmtId="0" fontId="3" fillId="48" borderId="0" xfId="0" applyFont="1" applyFill="1" applyBorder="1" applyAlignment="1">
      <alignment horizontal="left" vertical="top" wrapText="1"/>
    </xf>
    <xf numFmtId="0" fontId="62" fillId="43" borderId="0" xfId="0" applyFont="1" applyFill="1" applyBorder="1" applyAlignment="1">
      <alignment horizontal="center"/>
    </xf>
    <xf numFmtId="0" fontId="18" fillId="48" borderId="18" xfId="0" applyFont="1" applyFill="1" applyBorder="1" applyAlignment="1">
      <alignment horizontal="right" vertical="top"/>
    </xf>
    <xf numFmtId="0" fontId="18" fillId="43" borderId="1" xfId="0" applyFont="1" applyFill="1" applyBorder="1" applyAlignment="1">
      <alignment horizontal="left" wrapText="1"/>
    </xf>
    <xf numFmtId="0" fontId="18" fillId="0" borderId="0" xfId="0" applyFont="1" applyAlignment="1">
      <alignment horizontal="left" wrapText="1"/>
    </xf>
    <xf numFmtId="0" fontId="64" fillId="0" borderId="0" xfId="0" applyFont="1" applyAlignment="1">
      <alignment horizontal="left" wrapText="1"/>
    </xf>
    <xf numFmtId="0" fontId="3" fillId="48" borderId="30" xfId="0" applyFont="1" applyFill="1" applyBorder="1" applyAlignment="1">
      <alignment/>
    </xf>
    <xf numFmtId="0" fontId="0" fillId="48" borderId="4" xfId="0" applyFill="1" applyBorder="1" applyAlignment="1">
      <alignment/>
    </xf>
    <xf numFmtId="0" fontId="0" fillId="48" borderId="25" xfId="0" applyFill="1" applyBorder="1" applyAlignment="1">
      <alignment/>
    </xf>
    <xf numFmtId="0" fontId="3" fillId="48" borderId="25" xfId="0" applyFont="1" applyFill="1" applyBorder="1" applyAlignment="1">
      <alignment horizontal="center"/>
    </xf>
    <xf numFmtId="0" fontId="3" fillId="43" borderId="25" xfId="0" applyFont="1" applyFill="1" applyBorder="1" applyAlignment="1">
      <alignment/>
    </xf>
    <xf numFmtId="0" fontId="0" fillId="0" borderId="25" xfId="0" applyFont="1" applyFill="1" applyBorder="1" applyAlignment="1" applyProtection="1">
      <alignment/>
      <protection/>
    </xf>
    <xf numFmtId="0" fontId="0" fillId="0" borderId="33" xfId="0" applyBorder="1" applyAlignment="1">
      <alignment/>
    </xf>
    <xf numFmtId="0" fontId="0" fillId="0" borderId="33" xfId="0" applyBorder="1" applyAlignment="1">
      <alignment horizontal="center"/>
    </xf>
    <xf numFmtId="0" fontId="0" fillId="0" borderId="33" xfId="0" applyFont="1" applyBorder="1" applyAlignment="1">
      <alignment horizontal="center"/>
    </xf>
    <xf numFmtId="0" fontId="3" fillId="43" borderId="30" xfId="0" applyFont="1" applyFill="1" applyBorder="1" applyAlignment="1">
      <alignment horizontal="left" wrapText="1"/>
    </xf>
    <xf numFmtId="0" fontId="3" fillId="43" borderId="4" xfId="0" applyFont="1" applyFill="1" applyBorder="1" applyAlignment="1">
      <alignment wrapText="1"/>
    </xf>
    <xf numFmtId="0" fontId="0" fillId="43" borderId="25" xfId="0" applyFill="1" applyBorder="1" applyAlignment="1">
      <alignment/>
    </xf>
    <xf numFmtId="0" fontId="0" fillId="0" borderId="25" xfId="0" applyFont="1" applyBorder="1" applyAlignment="1">
      <alignment/>
    </xf>
    <xf numFmtId="0" fontId="0" fillId="0" borderId="25" xfId="0" applyBorder="1" applyAlignment="1">
      <alignment horizontal="center"/>
    </xf>
    <xf numFmtId="166" fontId="0" fillId="57" borderId="33" xfId="0" applyNumberFormat="1" applyFill="1" applyBorder="1" applyAlignment="1">
      <alignment horizontal="center"/>
    </xf>
    <xf numFmtId="0" fontId="0" fillId="0" borderId="30" xfId="0" applyFont="1" applyBorder="1" applyAlignment="1">
      <alignment/>
    </xf>
    <xf numFmtId="0" fontId="0" fillId="0" borderId="4" xfId="0" applyBorder="1" applyAlignment="1">
      <alignment/>
    </xf>
    <xf numFmtId="169" fontId="0" fillId="0" borderId="25" xfId="0" applyNumberFormat="1" applyBorder="1" applyAlignment="1">
      <alignment/>
    </xf>
    <xf numFmtId="178" fontId="0" fillId="0" borderId="25" xfId="0" applyNumberFormat="1" applyFill="1" applyBorder="1" applyAlignment="1" applyProtection="1">
      <alignment/>
      <protection/>
    </xf>
    <xf numFmtId="165" fontId="0" fillId="0" borderId="25" xfId="0" applyNumberFormat="1" applyBorder="1" applyAlignment="1">
      <alignment horizontal="center"/>
    </xf>
    <xf numFmtId="0" fontId="0" fillId="0" borderId="29" xfId="0" applyBorder="1" applyAlignment="1">
      <alignment/>
    </xf>
    <xf numFmtId="0" fontId="0" fillId="0" borderId="25" xfId="0" applyFont="1" applyBorder="1" applyAlignment="1" applyProtection="1">
      <alignment/>
      <protection/>
    </xf>
    <xf numFmtId="165" fontId="0" fillId="0" borderId="33" xfId="0" applyNumberFormat="1" applyBorder="1" applyAlignment="1">
      <alignment horizontal="center"/>
    </xf>
    <xf numFmtId="166" fontId="0" fillId="57" borderId="25" xfId="0" applyNumberFormat="1" applyFill="1" applyBorder="1" applyAlignment="1">
      <alignment horizontal="center"/>
    </xf>
    <xf numFmtId="0" fontId="0" fillId="43" borderId="30" xfId="0" applyFont="1" applyFill="1" applyBorder="1" applyAlignment="1">
      <alignment/>
    </xf>
    <xf numFmtId="169" fontId="0" fillId="43" borderId="25" xfId="0" applyNumberFormat="1" applyFill="1" applyBorder="1" applyAlignment="1">
      <alignment/>
    </xf>
    <xf numFmtId="165" fontId="0" fillId="57" borderId="33" xfId="0" applyNumberFormat="1" applyFill="1" applyBorder="1" applyAlignment="1">
      <alignment horizontal="center"/>
    </xf>
    <xf numFmtId="0" fontId="0" fillId="0" borderId="30" xfId="0" applyFont="1" applyFill="1" applyBorder="1" applyAlignment="1">
      <alignment/>
    </xf>
    <xf numFmtId="165" fontId="0" fillId="44" borderId="33" xfId="0" applyNumberFormat="1" applyFill="1" applyBorder="1" applyAlignment="1">
      <alignment horizontal="center"/>
    </xf>
    <xf numFmtId="164" fontId="0" fillId="57" borderId="25" xfId="0" applyNumberFormat="1" applyFill="1" applyBorder="1" applyAlignment="1" applyProtection="1">
      <alignment horizontal="center"/>
      <protection/>
    </xf>
    <xf numFmtId="0" fontId="3" fillId="43" borderId="30" xfId="0" applyFont="1" applyFill="1" applyBorder="1" applyAlignment="1">
      <alignment/>
    </xf>
    <xf numFmtId="0" fontId="3" fillId="43" borderId="29" xfId="0" applyFont="1" applyFill="1" applyBorder="1" applyAlignment="1">
      <alignment/>
    </xf>
    <xf numFmtId="165" fontId="0" fillId="0" borderId="33" xfId="0" applyNumberFormat="1" applyFill="1" applyBorder="1" applyAlignment="1">
      <alignment horizontal="center"/>
    </xf>
    <xf numFmtId="0" fontId="0" fillId="50" borderId="30" xfId="0" applyFont="1" applyFill="1" applyBorder="1" applyAlignment="1">
      <alignment/>
    </xf>
    <xf numFmtId="0" fontId="0" fillId="50" borderId="29" xfId="0" applyFill="1" applyBorder="1" applyAlignment="1">
      <alignment/>
    </xf>
    <xf numFmtId="0" fontId="0" fillId="0" borderId="33" xfId="0" applyFont="1" applyFill="1" applyBorder="1" applyAlignment="1">
      <alignment/>
    </xf>
    <xf numFmtId="0" fontId="0" fillId="0" borderId="33" xfId="0" applyFill="1" applyBorder="1" applyAlignment="1">
      <alignment horizontal="center"/>
    </xf>
    <xf numFmtId="166" fontId="0" fillId="0" borderId="33" xfId="0" applyNumberFormat="1" applyFill="1" applyBorder="1" applyAlignment="1">
      <alignment horizontal="center"/>
    </xf>
    <xf numFmtId="0" fontId="0" fillId="0" borderId="30" xfId="0" applyFill="1" applyBorder="1" applyAlignment="1">
      <alignment/>
    </xf>
    <xf numFmtId="0" fontId="20" fillId="0" borderId="0" xfId="0" applyFont="1" applyAlignment="1">
      <alignment wrapText="1"/>
    </xf>
    <xf numFmtId="0" fontId="66" fillId="43" borderId="30" xfId="0" applyFont="1" applyFill="1" applyBorder="1" applyAlignment="1">
      <alignment/>
    </xf>
    <xf numFmtId="0" fontId="67" fillId="43" borderId="29" xfId="0" applyFont="1" applyFill="1" applyBorder="1" applyAlignment="1">
      <alignment/>
    </xf>
    <xf numFmtId="9" fontId="0" fillId="0" borderId="25" xfId="70" applyFont="1" applyFill="1" applyBorder="1" applyAlignment="1" applyProtection="1">
      <alignment/>
      <protection/>
    </xf>
    <xf numFmtId="0" fontId="19" fillId="0" borderId="0" xfId="0" applyFont="1" applyAlignment="1">
      <alignment horizontal="left" wrapText="1"/>
    </xf>
    <xf numFmtId="166" fontId="0" fillId="0" borderId="33" xfId="0" applyNumberFormat="1" applyBorder="1" applyAlignment="1">
      <alignment horizontal="center"/>
    </xf>
    <xf numFmtId="0" fontId="68" fillId="0" borderId="0" xfId="0" applyFont="1" applyAlignment="1">
      <alignment horizontal="left" wrapText="1"/>
    </xf>
    <xf numFmtId="0" fontId="0" fillId="0" borderId="33" xfId="0" applyNumberFormat="1" applyBorder="1" applyAlignment="1">
      <alignment horizontal="center"/>
    </xf>
    <xf numFmtId="0" fontId="0" fillId="57" borderId="33" xfId="0" applyNumberFormat="1" applyFill="1" applyBorder="1" applyAlignment="1">
      <alignment horizontal="center"/>
    </xf>
    <xf numFmtId="2" fontId="0" fillId="0" borderId="33" xfId="0" applyNumberFormat="1" applyBorder="1" applyAlignment="1">
      <alignment horizontal="center"/>
    </xf>
    <xf numFmtId="169" fontId="0" fillId="0" borderId="25" xfId="0" applyNumberFormat="1" applyBorder="1" applyAlignment="1" applyProtection="1">
      <alignment/>
      <protection/>
    </xf>
    <xf numFmtId="0" fontId="0" fillId="0" borderId="33" xfId="0" applyFont="1" applyFill="1" applyBorder="1" applyAlignment="1">
      <alignment horizontal="center"/>
    </xf>
    <xf numFmtId="0" fontId="0" fillId="53" borderId="33" xfId="0" applyFont="1" applyFill="1" applyBorder="1" applyAlignment="1">
      <alignment/>
    </xf>
    <xf numFmtId="0" fontId="0" fillId="53" borderId="33" xfId="0" applyFont="1" applyFill="1" applyBorder="1" applyAlignment="1">
      <alignment horizontal="center"/>
    </xf>
    <xf numFmtId="2" fontId="0" fillId="0" borderId="0" xfId="0" applyNumberFormat="1" applyFill="1" applyAlignment="1">
      <alignment horizontal="center"/>
    </xf>
    <xf numFmtId="0" fontId="0" fillId="0" borderId="0" xfId="0" applyNumberFormat="1" applyFont="1" applyFill="1" applyAlignment="1">
      <alignment horizontal="center"/>
    </xf>
    <xf numFmtId="2" fontId="0" fillId="44" borderId="0" xfId="0" applyNumberFormat="1" applyFill="1" applyAlignment="1">
      <alignment horizontal="center"/>
    </xf>
    <xf numFmtId="10" fontId="0" fillId="0" borderId="25" xfId="70" applyNumberFormat="1" applyFont="1" applyFill="1" applyBorder="1" applyAlignment="1" applyProtection="1">
      <alignment/>
      <protection/>
    </xf>
    <xf numFmtId="0" fontId="20" fillId="0" borderId="0" xfId="0" applyFont="1" applyAlignment="1">
      <alignment horizontal="left" wrapText="1"/>
    </xf>
    <xf numFmtId="164" fontId="0" fillId="0" borderId="25" xfId="70" applyNumberFormat="1" applyFont="1" applyFill="1" applyBorder="1" applyAlignment="1" applyProtection="1">
      <alignment/>
      <protection/>
    </xf>
    <xf numFmtId="0" fontId="67" fillId="0" borderId="29" xfId="0" applyFont="1" applyFill="1" applyBorder="1" applyAlignment="1">
      <alignment/>
    </xf>
    <xf numFmtId="1" fontId="0" fillId="0" borderId="25" xfId="0" applyNumberFormat="1" applyFill="1" applyBorder="1" applyAlignment="1" applyProtection="1">
      <alignment horizontal="right"/>
      <protection locked="0"/>
    </xf>
    <xf numFmtId="164" fontId="0" fillId="0" borderId="25" xfId="0" applyNumberFormat="1" applyFill="1" applyBorder="1" applyAlignment="1" applyProtection="1">
      <alignment horizontal="right"/>
      <protection locked="0"/>
    </xf>
    <xf numFmtId="1" fontId="0" fillId="0" borderId="25" xfId="0" applyNumberFormat="1" applyFill="1" applyBorder="1" applyAlignment="1" applyProtection="1">
      <alignment horizontal="right"/>
      <protection/>
    </xf>
    <xf numFmtId="0" fontId="0" fillId="0" borderId="29" xfId="0" applyFill="1" applyBorder="1" applyAlignment="1" applyProtection="1">
      <alignment/>
      <protection/>
    </xf>
    <xf numFmtId="10" fontId="0" fillId="0" borderId="25" xfId="0" applyNumberFormat="1" applyFont="1" applyFill="1" applyBorder="1" applyAlignment="1">
      <alignment horizontal="right"/>
    </xf>
    <xf numFmtId="0" fontId="0" fillId="0" borderId="0" xfId="0" applyNumberFormat="1" applyAlignment="1">
      <alignment/>
    </xf>
    <xf numFmtId="0" fontId="0" fillId="43" borderId="25" xfId="0" applyNumberFormat="1" applyFill="1" applyBorder="1" applyAlignment="1">
      <alignment/>
    </xf>
    <xf numFmtId="0" fontId="0" fillId="44" borderId="0" xfId="0" applyFont="1" applyFill="1" applyAlignment="1">
      <alignment/>
    </xf>
    <xf numFmtId="0" fontId="0" fillId="44" borderId="0" xfId="0" applyNumberFormat="1" applyFill="1" applyAlignment="1">
      <alignment/>
    </xf>
    <xf numFmtId="0" fontId="0" fillId="0" borderId="25" xfId="0" applyNumberFormat="1" applyFont="1" applyFill="1" applyBorder="1" applyAlignment="1">
      <alignment/>
    </xf>
    <xf numFmtId="0" fontId="0" fillId="0" borderId="25" xfId="0" applyNumberFormat="1" applyFill="1" applyBorder="1" applyAlignment="1">
      <alignment/>
    </xf>
    <xf numFmtId="0" fontId="3" fillId="0" borderId="25" xfId="0" applyFont="1" applyBorder="1" applyAlignment="1">
      <alignment horizontal="left"/>
    </xf>
    <xf numFmtId="164" fontId="3" fillId="0" borderId="25" xfId="0" applyNumberFormat="1" applyFont="1" applyBorder="1" applyAlignment="1">
      <alignment/>
    </xf>
    <xf numFmtId="164" fontId="0" fillId="0" borderId="0" xfId="0" applyNumberFormat="1" applyBorder="1" applyAlignment="1">
      <alignment/>
    </xf>
    <xf numFmtId="0" fontId="23" fillId="0" borderId="0" xfId="0" applyFont="1" applyAlignment="1">
      <alignment horizontal="center"/>
    </xf>
    <xf numFmtId="0" fontId="3" fillId="0" borderId="25" xfId="0" applyFont="1" applyFill="1" applyBorder="1" applyAlignment="1">
      <alignment horizontal="left"/>
    </xf>
    <xf numFmtId="179" fontId="3" fillId="0" borderId="25" xfId="0" applyNumberFormat="1" applyFont="1" applyBorder="1" applyAlignment="1">
      <alignment/>
    </xf>
    <xf numFmtId="179" fontId="3" fillId="0" borderId="0" xfId="0" applyNumberFormat="1" applyFont="1" applyBorder="1" applyAlignment="1">
      <alignment/>
    </xf>
    <xf numFmtId="10" fontId="3" fillId="0" borderId="0" xfId="0" applyNumberFormat="1" applyFont="1" applyBorder="1" applyAlignment="1">
      <alignment/>
    </xf>
    <xf numFmtId="165" fontId="0" fillId="0" borderId="33" xfId="0" applyNumberFormat="1" applyFont="1" applyBorder="1" applyAlignment="1">
      <alignment horizontal="center"/>
    </xf>
    <xf numFmtId="10" fontId="3" fillId="0" borderId="33" xfId="0" applyNumberFormat="1" applyFont="1" applyBorder="1" applyAlignment="1">
      <alignment horizontal="center"/>
    </xf>
    <xf numFmtId="180" fontId="3" fillId="0" borderId="0" xfId="48" applyNumberFormat="1" applyFont="1" applyFill="1" applyBorder="1" applyAlignment="1" applyProtection="1">
      <alignment/>
      <protection/>
    </xf>
    <xf numFmtId="0" fontId="3" fillId="0" borderId="25" xfId="0" applyNumberFormat="1" applyFont="1" applyFill="1" applyBorder="1" applyAlignment="1">
      <alignment/>
    </xf>
    <xf numFmtId="0" fontId="3" fillId="0" borderId="25" xfId="0" applyFont="1" applyBorder="1" applyAlignment="1">
      <alignment/>
    </xf>
    <xf numFmtId="164" fontId="3" fillId="0" borderId="25" xfId="0" applyNumberFormat="1" applyFont="1" applyFill="1" applyBorder="1" applyAlignment="1">
      <alignment/>
    </xf>
    <xf numFmtId="9" fontId="0" fillId="0" borderId="0" xfId="0" applyNumberFormat="1" applyFill="1" applyBorder="1" applyAlignment="1">
      <alignment/>
    </xf>
    <xf numFmtId="179" fontId="0" fillId="0" borderId="0" xfId="48" applyNumberFormat="1" applyFont="1" applyFill="1" applyBorder="1" applyAlignment="1" applyProtection="1">
      <alignment/>
      <protection/>
    </xf>
    <xf numFmtId="10" fontId="0" fillId="0" borderId="0" xfId="0" applyNumberFormat="1" applyBorder="1" applyAlignment="1">
      <alignment/>
    </xf>
    <xf numFmtId="1" fontId="0" fillId="0" borderId="33" xfId="0" applyNumberFormat="1" applyBorder="1" applyAlignment="1">
      <alignment horizontal="center"/>
    </xf>
    <xf numFmtId="0" fontId="3" fillId="0" borderId="28" xfId="0" applyFont="1" applyBorder="1" applyAlignment="1">
      <alignment/>
    </xf>
    <xf numFmtId="0" fontId="25" fillId="50" borderId="25" xfId="0" applyFont="1" applyFill="1" applyBorder="1" applyAlignment="1">
      <alignment horizontal="left"/>
    </xf>
    <xf numFmtId="173" fontId="3" fillId="50" borderId="25" xfId="0" applyNumberFormat="1" applyFont="1" applyFill="1" applyBorder="1" applyAlignment="1">
      <alignment horizontal="right"/>
    </xf>
    <xf numFmtId="173" fontId="3" fillId="50" borderId="25" xfId="0" applyNumberFormat="1" applyFont="1" applyFill="1" applyBorder="1" applyAlignment="1">
      <alignment/>
    </xf>
    <xf numFmtId="0" fontId="0" fillId="48" borderId="33" xfId="0" applyFont="1" applyFill="1" applyBorder="1" applyAlignment="1">
      <alignment/>
    </xf>
    <xf numFmtId="0" fontId="0" fillId="48" borderId="33" xfId="0" applyFill="1" applyBorder="1" applyAlignment="1">
      <alignment horizontal="center"/>
    </xf>
    <xf numFmtId="0" fontId="0" fillId="46" borderId="33" xfId="0" applyFont="1" applyFill="1" applyBorder="1" applyAlignment="1">
      <alignment/>
    </xf>
    <xf numFmtId="0" fontId="0" fillId="46" borderId="33" xfId="0" applyFont="1" applyFill="1" applyBorder="1" applyAlignment="1">
      <alignment horizontal="center"/>
    </xf>
    <xf numFmtId="0" fontId="0" fillId="47" borderId="33" xfId="0" applyFont="1" applyFill="1" applyBorder="1" applyAlignment="1">
      <alignment/>
    </xf>
    <xf numFmtId="0" fontId="0" fillId="47" borderId="33" xfId="0" applyFont="1" applyFill="1" applyBorder="1" applyAlignment="1">
      <alignment horizontal="center"/>
    </xf>
    <xf numFmtId="169" fontId="0" fillId="0" borderId="25" xfId="0" applyNumberFormat="1" applyFill="1" applyBorder="1" applyAlignment="1">
      <alignment/>
    </xf>
    <xf numFmtId="165" fontId="0" fillId="0" borderId="0" xfId="0" applyNumberFormat="1" applyFont="1" applyFill="1" applyBorder="1" applyAlignment="1">
      <alignment horizontal="center"/>
    </xf>
    <xf numFmtId="0" fontId="0" fillId="0" borderId="0" xfId="0" applyNumberFormat="1" applyFont="1" applyFill="1" applyBorder="1" applyAlignment="1" applyProtection="1">
      <alignment horizontal="center" wrapText="1"/>
      <protection locked="0"/>
    </xf>
    <xf numFmtId="9" fontId="0" fillId="0" borderId="0" xfId="0" applyNumberFormat="1" applyFont="1" applyFill="1" applyBorder="1" applyAlignment="1" applyProtection="1">
      <alignment horizontal="center"/>
      <protection locked="0"/>
    </xf>
    <xf numFmtId="165" fontId="0" fillId="0" borderId="0" xfId="0" applyNumberFormat="1" applyAlignment="1">
      <alignment horizontal="center"/>
    </xf>
    <xf numFmtId="0" fontId="0" fillId="0" borderId="25" xfId="0" applyBorder="1" applyAlignment="1">
      <alignment horizontal="right"/>
    </xf>
    <xf numFmtId="0" fontId="0" fillId="0" borderId="0" xfId="0" applyAlignment="1">
      <alignment wrapText="1"/>
    </xf>
    <xf numFmtId="0" fontId="0" fillId="57" borderId="25" xfId="0" applyFill="1" applyBorder="1" applyAlignment="1">
      <alignment horizontal="center"/>
    </xf>
    <xf numFmtId="0" fontId="0" fillId="57" borderId="25" xfId="0" applyFill="1" applyBorder="1" applyAlignment="1">
      <alignment/>
    </xf>
    <xf numFmtId="2" fontId="0" fillId="0" borderId="25" xfId="0" applyNumberFormat="1" applyBorder="1" applyAlignment="1">
      <alignment horizontal="center"/>
    </xf>
    <xf numFmtId="0" fontId="23" fillId="57" borderId="25" xfId="0" applyFont="1" applyFill="1" applyBorder="1" applyAlignment="1">
      <alignment horizontal="center"/>
    </xf>
    <xf numFmtId="2" fontId="0" fillId="57" borderId="25" xfId="0" applyNumberFormat="1" applyFill="1" applyBorder="1" applyAlignment="1">
      <alignment horizontal="center"/>
    </xf>
    <xf numFmtId="0" fontId="0" fillId="57" borderId="25" xfId="0" applyFont="1" applyFill="1" applyBorder="1" applyAlignment="1">
      <alignment horizontal="center"/>
    </xf>
    <xf numFmtId="0" fontId="0" fillId="57" borderId="25" xfId="0" applyFont="1" applyFill="1" applyBorder="1" applyAlignment="1">
      <alignment horizontal="right"/>
    </xf>
    <xf numFmtId="166" fontId="0" fillId="0" borderId="25" xfId="0" applyNumberFormat="1" applyBorder="1" applyAlignment="1">
      <alignment/>
    </xf>
    <xf numFmtId="165" fontId="0" fillId="57" borderId="25" xfId="0" applyNumberFormat="1" applyFill="1" applyBorder="1" applyAlignment="1">
      <alignment/>
    </xf>
    <xf numFmtId="166" fontId="0" fillId="0" borderId="25" xfId="0" applyNumberFormat="1" applyFont="1" applyBorder="1" applyAlignment="1">
      <alignment/>
    </xf>
    <xf numFmtId="165" fontId="0" fillId="57" borderId="25" xfId="0" applyNumberFormat="1" applyFont="1" applyFill="1" applyBorder="1" applyAlignment="1">
      <alignment/>
    </xf>
    <xf numFmtId="0" fontId="0" fillId="0" borderId="25" xfId="0" applyFont="1" applyFill="1" applyBorder="1" applyAlignment="1" applyProtection="1">
      <alignment horizontal="left"/>
      <protection locked="0"/>
    </xf>
    <xf numFmtId="166" fontId="0" fillId="0" borderId="25" xfId="0" applyNumberFormat="1" applyFont="1" applyFill="1" applyBorder="1" applyAlignment="1" applyProtection="1">
      <alignment horizontal="right"/>
      <protection locked="0"/>
    </xf>
    <xf numFmtId="10" fontId="0" fillId="0" borderId="25" xfId="0" applyNumberFormat="1" applyBorder="1" applyAlignment="1">
      <alignment/>
    </xf>
    <xf numFmtId="165" fontId="0" fillId="0" borderId="25" xfId="0" applyNumberFormat="1" applyBorder="1" applyAlignment="1">
      <alignment/>
    </xf>
    <xf numFmtId="0" fontId="0" fillId="58" borderId="25" xfId="0" applyFill="1" applyBorder="1" applyAlignment="1">
      <alignment horizontal="center"/>
    </xf>
    <xf numFmtId="165" fontId="0" fillId="0" borderId="25" xfId="0" applyNumberFormat="1" applyFont="1" applyBorder="1" applyAlignment="1">
      <alignment/>
    </xf>
    <xf numFmtId="165" fontId="0" fillId="0" borderId="25" xfId="0" applyNumberFormat="1" applyBorder="1" applyAlignment="1">
      <alignment horizontal="right"/>
    </xf>
    <xf numFmtId="165" fontId="0" fillId="59" borderId="25" xfId="0" applyNumberFormat="1" applyFill="1" applyBorder="1" applyAlignment="1">
      <alignment horizontal="right"/>
    </xf>
    <xf numFmtId="165" fontId="0" fillId="0" borderId="33" xfId="0" applyNumberFormat="1" applyBorder="1" applyAlignment="1">
      <alignment horizontal="right"/>
    </xf>
    <xf numFmtId="0" fontId="0" fillId="0" borderId="33" xfId="0" applyNumberFormat="1" applyBorder="1" applyAlignment="1">
      <alignment horizontal="right"/>
    </xf>
    <xf numFmtId="0" fontId="3" fillId="55" borderId="29" xfId="0" applyFont="1" applyFill="1" applyBorder="1" applyAlignment="1" applyProtection="1">
      <alignment/>
      <protection/>
    </xf>
    <xf numFmtId="0" fontId="0" fillId="55" borderId="29" xfId="0" applyFill="1" applyBorder="1" applyAlignment="1" applyProtection="1">
      <alignment/>
      <protection/>
    </xf>
    <xf numFmtId="0" fontId="0" fillId="0" borderId="16" xfId="0" applyBorder="1" applyAlignment="1" applyProtection="1">
      <alignment/>
      <protection/>
    </xf>
    <xf numFmtId="0" fontId="0" fillId="48" borderId="12" xfId="0" applyFill="1" applyBorder="1" applyAlignment="1" applyProtection="1">
      <alignment/>
      <protection/>
    </xf>
    <xf numFmtId="0" fontId="69" fillId="48" borderId="29" xfId="0" applyFont="1" applyFill="1" applyBorder="1" applyAlignment="1" applyProtection="1">
      <alignment horizontal="center" vertical="center"/>
      <protection/>
    </xf>
    <xf numFmtId="0" fontId="70" fillId="48" borderId="29" xfId="0" applyFont="1" applyFill="1" applyBorder="1" applyAlignment="1" applyProtection="1">
      <alignment horizontal="center"/>
      <protection/>
    </xf>
    <xf numFmtId="0" fontId="0" fillId="48" borderId="14" xfId="0" applyFill="1" applyBorder="1" applyAlignment="1" applyProtection="1">
      <alignment/>
      <protection/>
    </xf>
    <xf numFmtId="0" fontId="0" fillId="48" borderId="15" xfId="0" applyFill="1" applyBorder="1" applyAlignment="1" applyProtection="1">
      <alignment/>
      <protection/>
    </xf>
    <xf numFmtId="0" fontId="3" fillId="43" borderId="25" xfId="0" applyFont="1" applyFill="1" applyBorder="1" applyAlignment="1" applyProtection="1">
      <alignment/>
      <protection/>
    </xf>
    <xf numFmtId="0" fontId="3" fillId="48" borderId="27" xfId="0" applyFont="1" applyFill="1" applyBorder="1" applyAlignment="1" applyProtection="1">
      <alignment/>
      <protection/>
    </xf>
    <xf numFmtId="3" fontId="3" fillId="48" borderId="25" xfId="0" applyNumberFormat="1" applyFont="1" applyFill="1" applyBorder="1" applyAlignment="1" applyProtection="1">
      <alignment horizontal="center"/>
      <protection/>
    </xf>
    <xf numFmtId="9" fontId="3" fillId="48" borderId="25" xfId="0" applyNumberFormat="1" applyFont="1" applyFill="1" applyBorder="1" applyAlignment="1" applyProtection="1">
      <alignment horizontal="center"/>
      <protection/>
    </xf>
    <xf numFmtId="3" fontId="0" fillId="0" borderId="25" xfId="0" applyNumberFormat="1" applyFont="1" applyBorder="1" applyAlignment="1" applyProtection="1">
      <alignment horizontal="left"/>
      <protection/>
    </xf>
    <xf numFmtId="1" fontId="0" fillId="0" borderId="25" xfId="0" applyNumberFormat="1" applyFont="1" applyBorder="1" applyAlignment="1" applyProtection="1">
      <alignment horizontal="left"/>
      <protection/>
    </xf>
    <xf numFmtId="164" fontId="0" fillId="0" borderId="25" xfId="0" applyNumberFormat="1" applyFont="1" applyBorder="1" applyAlignment="1" applyProtection="1">
      <alignment horizontal="left"/>
      <protection/>
    </xf>
    <xf numFmtId="9" fontId="0" fillId="0" borderId="25" xfId="0" applyNumberFormat="1" applyFont="1" applyBorder="1" applyAlignment="1" applyProtection="1">
      <alignment horizontal="left"/>
      <protection/>
    </xf>
    <xf numFmtId="172" fontId="0" fillId="0" borderId="25" xfId="0" applyNumberFormat="1" applyFont="1" applyBorder="1" applyAlignment="1" applyProtection="1">
      <alignment horizontal="left"/>
      <protection/>
    </xf>
    <xf numFmtId="0" fontId="3" fillId="48" borderId="30" xfId="0" applyFont="1" applyFill="1" applyBorder="1" applyAlignment="1" applyProtection="1">
      <alignment/>
      <protection/>
    </xf>
    <xf numFmtId="0" fontId="0" fillId="48" borderId="16" xfId="0" applyFill="1" applyBorder="1" applyAlignment="1" applyProtection="1">
      <alignment/>
      <protection/>
    </xf>
    <xf numFmtId="0" fontId="0" fillId="0" borderId="0" xfId="0" applyBorder="1" applyAlignment="1" applyProtection="1">
      <alignment/>
      <protection/>
    </xf>
    <xf numFmtId="171" fontId="0" fillId="0" borderId="25" xfId="0" applyNumberFormat="1" applyBorder="1" applyAlignment="1" applyProtection="1">
      <alignment horizontal="left"/>
      <protection/>
    </xf>
    <xf numFmtId="10" fontId="0" fillId="0" borderId="25" xfId="0" applyNumberFormat="1" applyFill="1" applyBorder="1" applyAlignment="1" applyProtection="1">
      <alignment horizontal="left"/>
      <protection/>
    </xf>
    <xf numFmtId="0" fontId="0" fillId="0" borderId="0" xfId="0" applyFont="1" applyFill="1" applyAlignment="1" applyProtection="1">
      <alignment/>
      <protection/>
    </xf>
    <xf numFmtId="166" fontId="0" fillId="0" borderId="25" xfId="0" applyNumberFormat="1" applyBorder="1" applyAlignment="1" applyProtection="1">
      <alignment horizontal="left"/>
      <protection/>
    </xf>
    <xf numFmtId="0" fontId="0" fillId="60" borderId="25" xfId="0" applyFill="1" applyBorder="1" applyAlignment="1" applyProtection="1">
      <alignment horizontal="left"/>
      <protection/>
    </xf>
    <xf numFmtId="0" fontId="3" fillId="48" borderId="30" xfId="0" applyFont="1" applyFill="1" applyBorder="1" applyAlignment="1" applyProtection="1">
      <alignment/>
      <protection/>
    </xf>
    <xf numFmtId="164" fontId="0" fillId="0" borderId="30" xfId="0" applyNumberFormat="1" applyFill="1" applyBorder="1" applyAlignment="1" applyProtection="1">
      <alignment horizontal="left"/>
      <protection/>
    </xf>
    <xf numFmtId="164" fontId="0" fillId="0" borderId="30" xfId="0" applyNumberFormat="1" applyBorder="1" applyAlignment="1" applyProtection="1">
      <alignment horizontal="left"/>
      <protection/>
    </xf>
    <xf numFmtId="1" fontId="0" fillId="0" borderId="25" xfId="0" applyNumberFormat="1" applyFill="1" applyBorder="1" applyAlignment="1" applyProtection="1">
      <alignment horizontal="left"/>
      <protection/>
    </xf>
    <xf numFmtId="2" fontId="0" fillId="0" borderId="25" xfId="0" applyNumberFormat="1" applyFill="1" applyBorder="1" applyAlignment="1" applyProtection="1">
      <alignment horizontal="left"/>
      <protection/>
    </xf>
    <xf numFmtId="2" fontId="0" fillId="0" borderId="30" xfId="0" applyNumberFormat="1" applyFill="1" applyBorder="1" applyAlignment="1" applyProtection="1">
      <alignment horizontal="left"/>
      <protection/>
    </xf>
    <xf numFmtId="164" fontId="0" fillId="60" borderId="26" xfId="0" applyNumberFormat="1" applyFill="1" applyBorder="1" applyAlignment="1" applyProtection="1">
      <alignment horizontal="left"/>
      <protection/>
    </xf>
    <xf numFmtId="3" fontId="0" fillId="0" borderId="25" xfId="0" applyNumberFormat="1" applyFill="1" applyBorder="1" applyAlignment="1" applyProtection="1">
      <alignment horizontal="left"/>
      <protection/>
    </xf>
    <xf numFmtId="4" fontId="0" fillId="0" borderId="25" xfId="0" applyNumberFormat="1" applyFill="1" applyBorder="1" applyAlignment="1" applyProtection="1">
      <alignment horizontal="left"/>
      <protection/>
    </xf>
    <xf numFmtId="4" fontId="0" fillId="0" borderId="30" xfId="0" applyNumberFormat="1" applyFill="1" applyBorder="1" applyAlignment="1" applyProtection="1">
      <alignment horizontal="left"/>
      <protection/>
    </xf>
    <xf numFmtId="176" fontId="0" fillId="0" borderId="25" xfId="0" applyNumberFormat="1" applyFill="1" applyBorder="1" applyAlignment="1" applyProtection="1">
      <alignment horizontal="left"/>
      <protection/>
    </xf>
    <xf numFmtId="0" fontId="0" fillId="0" borderId="15" xfId="0" applyFont="1" applyBorder="1" applyAlignment="1" applyProtection="1">
      <alignment/>
      <protection/>
    </xf>
    <xf numFmtId="3" fontId="0" fillId="0" borderId="35" xfId="0" applyNumberFormat="1" applyBorder="1" applyAlignment="1" applyProtection="1">
      <alignment horizontal="left"/>
      <protection/>
    </xf>
    <xf numFmtId="4" fontId="0" fillId="0" borderId="35" xfId="0" applyNumberFormat="1" applyBorder="1" applyAlignment="1" applyProtection="1">
      <alignment horizontal="left"/>
      <protection/>
    </xf>
    <xf numFmtId="4" fontId="0" fillId="0" borderId="13" xfId="0" applyNumberFormat="1" applyBorder="1" applyAlignment="1" applyProtection="1">
      <alignment horizontal="left"/>
      <protection/>
    </xf>
    <xf numFmtId="176" fontId="0" fillId="0" borderId="14" xfId="0" applyNumberFormat="1" applyBorder="1" applyAlignment="1" applyProtection="1">
      <alignment horizontal="left"/>
      <protection/>
    </xf>
    <xf numFmtId="0" fontId="3" fillId="48" borderId="36" xfId="0" applyFont="1" applyFill="1" applyBorder="1" applyAlignment="1" applyProtection="1">
      <alignment/>
      <protection/>
    </xf>
    <xf numFmtId="0" fontId="0" fillId="48" borderId="37" xfId="0" applyFill="1" applyBorder="1" applyAlignment="1" applyProtection="1">
      <alignment/>
      <protection/>
    </xf>
    <xf numFmtId="10" fontId="3" fillId="48" borderId="38" xfId="0" applyNumberFormat="1" applyFont="1" applyFill="1" applyBorder="1" applyAlignment="1" applyProtection="1">
      <alignment horizontal="center"/>
      <protection/>
    </xf>
    <xf numFmtId="0" fontId="3" fillId="48" borderId="39" xfId="0" applyFont="1" applyFill="1" applyBorder="1" applyAlignment="1" applyProtection="1">
      <alignment horizontal="center"/>
      <protection/>
    </xf>
    <xf numFmtId="0" fontId="3" fillId="57" borderId="40" xfId="0" applyFont="1" applyFill="1" applyBorder="1" applyAlignment="1" applyProtection="1">
      <alignment horizontal="center"/>
      <protection/>
    </xf>
    <xf numFmtId="0" fontId="3" fillId="50" borderId="25" xfId="0" applyFont="1" applyFill="1" applyBorder="1" applyAlignment="1" applyProtection="1">
      <alignment horizontal="center"/>
      <protection/>
    </xf>
    <xf numFmtId="0" fontId="3" fillId="40" borderId="41" xfId="0" applyFont="1" applyFill="1" applyBorder="1" applyAlignment="1" applyProtection="1">
      <alignment horizontal="center"/>
      <protection/>
    </xf>
    <xf numFmtId="164" fontId="3" fillId="0" borderId="42" xfId="0" applyNumberFormat="1" applyFont="1" applyFill="1" applyBorder="1" applyAlignment="1" applyProtection="1">
      <alignment horizontal="center"/>
      <protection/>
    </xf>
    <xf numFmtId="164" fontId="0" fillId="57" borderId="40" xfId="0" applyNumberFormat="1" applyFont="1" applyFill="1" applyBorder="1" applyAlignment="1" applyProtection="1">
      <alignment horizontal="center"/>
      <protection/>
    </xf>
    <xf numFmtId="164" fontId="0" fillId="40" borderId="41" xfId="0" applyNumberFormat="1" applyFont="1" applyFill="1" applyBorder="1" applyAlignment="1" applyProtection="1">
      <alignment horizontal="center"/>
      <protection/>
    </xf>
    <xf numFmtId="164" fontId="3" fillId="0" borderId="42" xfId="0" applyNumberFormat="1" applyFont="1" applyBorder="1" applyAlignment="1" applyProtection="1">
      <alignment horizontal="center"/>
      <protection/>
    </xf>
    <xf numFmtId="0" fontId="0" fillId="0" borderId="43" xfId="0" applyFont="1" applyFill="1" applyBorder="1" applyAlignment="1" applyProtection="1">
      <alignment/>
      <protection/>
    </xf>
    <xf numFmtId="0" fontId="0" fillId="0" borderId="42" xfId="0" applyFill="1" applyBorder="1" applyAlignment="1" applyProtection="1">
      <alignment/>
      <protection/>
    </xf>
    <xf numFmtId="173" fontId="3" fillId="0" borderId="42" xfId="0" applyNumberFormat="1" applyFont="1" applyBorder="1" applyAlignment="1" applyProtection="1">
      <alignment horizontal="center"/>
      <protection/>
    </xf>
    <xf numFmtId="164" fontId="3" fillId="0" borderId="44" xfId="0" applyNumberFormat="1" applyFont="1" applyFill="1" applyBorder="1" applyAlignment="1" applyProtection="1">
      <alignment horizontal="center"/>
      <protection/>
    </xf>
    <xf numFmtId="164" fontId="0" fillId="57" borderId="45" xfId="0" applyNumberFormat="1" applyFont="1" applyFill="1" applyBorder="1" applyAlignment="1" applyProtection="1">
      <alignment horizontal="center"/>
      <protection/>
    </xf>
    <xf numFmtId="164" fontId="0" fillId="50" borderId="46" xfId="0" applyNumberFormat="1" applyFont="1" applyFill="1" applyBorder="1" applyAlignment="1" applyProtection="1">
      <alignment horizontal="center"/>
      <protection/>
    </xf>
    <xf numFmtId="164" fontId="0" fillId="40" borderId="47" xfId="0" applyNumberFormat="1" applyFont="1" applyFill="1" applyBorder="1" applyAlignment="1" applyProtection="1">
      <alignment horizontal="center"/>
      <protection/>
    </xf>
    <xf numFmtId="0" fontId="0" fillId="0" borderId="48" xfId="0" applyFont="1" applyFill="1" applyBorder="1" applyAlignment="1" applyProtection="1">
      <alignment/>
      <protection/>
    </xf>
    <xf numFmtId="0" fontId="0" fillId="0" borderId="1" xfId="0" applyFill="1" applyBorder="1" applyAlignment="1" applyProtection="1">
      <alignment/>
      <protection/>
    </xf>
    <xf numFmtId="164" fontId="3" fillId="0" borderId="49" xfId="0" applyNumberFormat="1" applyFont="1" applyFill="1" applyBorder="1" applyAlignment="1" applyProtection="1">
      <alignment horizontal="center"/>
      <protection/>
    </xf>
    <xf numFmtId="164" fontId="0" fillId="57" borderId="19" xfId="0" applyNumberFormat="1" applyFont="1" applyFill="1" applyBorder="1" applyAlignment="1" applyProtection="1">
      <alignment horizontal="center"/>
      <protection/>
    </xf>
    <xf numFmtId="164" fontId="0" fillId="50" borderId="26" xfId="0" applyNumberFormat="1" applyFont="1" applyFill="1" applyBorder="1" applyAlignment="1" applyProtection="1">
      <alignment horizontal="center"/>
      <protection/>
    </xf>
    <xf numFmtId="164" fontId="0" fillId="40" borderId="50" xfId="0" applyNumberFormat="1" applyFont="1" applyFill="1" applyBorder="1" applyAlignment="1" applyProtection="1">
      <alignment horizontal="center"/>
      <protection/>
    </xf>
    <xf numFmtId="164" fontId="0" fillId="57" borderId="4" xfId="0" applyNumberFormat="1" applyFont="1" applyFill="1" applyBorder="1" applyAlignment="1" applyProtection="1">
      <alignment horizontal="center"/>
      <protection/>
    </xf>
    <xf numFmtId="164" fontId="0" fillId="50" borderId="25" xfId="0" applyNumberFormat="1" applyFont="1" applyFill="1" applyBorder="1" applyAlignment="1" applyProtection="1">
      <alignment horizontal="center"/>
      <protection/>
    </xf>
    <xf numFmtId="0" fontId="0" fillId="0" borderId="51" xfId="0" applyFont="1" applyFill="1" applyBorder="1" applyAlignment="1" applyProtection="1">
      <alignment/>
      <protection/>
    </xf>
    <xf numFmtId="0" fontId="0" fillId="0" borderId="52" xfId="0" applyFill="1" applyBorder="1" applyAlignment="1" applyProtection="1">
      <alignment/>
      <protection/>
    </xf>
    <xf numFmtId="164" fontId="3" fillId="0" borderId="52" xfId="0" applyNumberFormat="1" applyFont="1" applyFill="1" applyBorder="1" applyAlignment="1" applyProtection="1">
      <alignment horizontal="center"/>
      <protection/>
    </xf>
    <xf numFmtId="164" fontId="0" fillId="57" borderId="53" xfId="0" applyNumberFormat="1" applyFont="1" applyFill="1" applyBorder="1" applyAlignment="1" applyProtection="1">
      <alignment horizontal="center"/>
      <protection/>
    </xf>
    <xf numFmtId="164" fontId="0" fillId="50" borderId="54" xfId="0" applyNumberFormat="1" applyFont="1" applyFill="1" applyBorder="1" applyAlignment="1" applyProtection="1">
      <alignment horizontal="center"/>
      <protection/>
    </xf>
    <xf numFmtId="164" fontId="0" fillId="40" borderId="55" xfId="0" applyNumberFormat="1" applyFont="1" applyFill="1" applyBorder="1" applyAlignment="1" applyProtection="1">
      <alignment horizontal="center"/>
      <protection/>
    </xf>
    <xf numFmtId="164" fontId="0" fillId="57" borderId="40" xfId="0" applyNumberFormat="1" applyFill="1" applyBorder="1" applyAlignment="1" applyProtection="1">
      <alignment horizontal="center"/>
      <protection/>
    </xf>
    <xf numFmtId="10" fontId="3" fillId="0" borderId="42" xfId="71" applyNumberFormat="1" applyFont="1" applyFill="1" applyBorder="1" applyAlignment="1" applyProtection="1">
      <alignment horizontal="center"/>
      <protection/>
    </xf>
    <xf numFmtId="9" fontId="0" fillId="57" borderId="40" xfId="0" applyNumberFormat="1" applyFont="1" applyFill="1" applyBorder="1" applyAlignment="1" applyProtection="1">
      <alignment horizontal="center"/>
      <protection/>
    </xf>
    <xf numFmtId="9" fontId="0" fillId="50" borderId="25" xfId="0" applyNumberFormat="1" applyFont="1" applyFill="1" applyBorder="1" applyAlignment="1" applyProtection="1">
      <alignment horizontal="center"/>
      <protection/>
    </xf>
    <xf numFmtId="10" fontId="0" fillId="40" borderId="41" xfId="0" applyNumberFormat="1" applyFont="1" applyFill="1" applyBorder="1" applyAlignment="1" applyProtection="1">
      <alignment horizontal="center"/>
      <protection/>
    </xf>
    <xf numFmtId="0" fontId="3" fillId="48" borderId="42" xfId="0" applyFont="1" applyFill="1" applyBorder="1" applyAlignment="1" applyProtection="1">
      <alignment horizontal="center"/>
      <protection/>
    </xf>
    <xf numFmtId="2" fontId="3" fillId="0" borderId="42" xfId="0" applyNumberFormat="1" applyFont="1" applyFill="1" applyBorder="1" applyAlignment="1" applyProtection="1">
      <alignment horizontal="center"/>
      <protection/>
    </xf>
    <xf numFmtId="0" fontId="0" fillId="57" borderId="40" xfId="0" applyFill="1" applyBorder="1" applyAlignment="1" applyProtection="1">
      <alignment horizontal="center"/>
      <protection/>
    </xf>
    <xf numFmtId="0" fontId="0" fillId="50" borderId="25" xfId="0" applyFill="1" applyBorder="1" applyAlignment="1" applyProtection="1">
      <alignment horizontal="center"/>
      <protection/>
    </xf>
    <xf numFmtId="0" fontId="0" fillId="40" borderId="41" xfId="0" applyFill="1" applyBorder="1" applyAlignment="1" applyProtection="1">
      <alignment horizontal="center"/>
      <protection/>
    </xf>
    <xf numFmtId="169" fontId="3" fillId="0" borderId="42" xfId="0" applyNumberFormat="1" applyFont="1" applyFill="1" applyBorder="1" applyAlignment="1" applyProtection="1">
      <alignment horizontal="center"/>
      <protection/>
    </xf>
    <xf numFmtId="166" fontId="0" fillId="57" borderId="40" xfId="0" applyNumberFormat="1" applyFont="1" applyFill="1" applyBorder="1" applyAlignment="1" applyProtection="1">
      <alignment horizontal="center"/>
      <protection/>
    </xf>
    <xf numFmtId="166" fontId="0" fillId="50" borderId="25" xfId="0" applyNumberFormat="1" applyFont="1" applyFill="1" applyBorder="1" applyAlignment="1" applyProtection="1">
      <alignment horizontal="center"/>
      <protection/>
    </xf>
    <xf numFmtId="166" fontId="0" fillId="40" borderId="41" xfId="0" applyNumberFormat="1" applyFont="1" applyFill="1" applyBorder="1" applyAlignment="1" applyProtection="1">
      <alignment horizontal="center"/>
      <protection/>
    </xf>
    <xf numFmtId="9" fontId="3" fillId="0" borderId="42" xfId="71" applyFont="1" applyFill="1" applyBorder="1" applyAlignment="1" applyProtection="1">
      <alignment horizontal="center"/>
      <protection/>
    </xf>
    <xf numFmtId="9" fontId="0" fillId="50" borderId="25" xfId="0" applyNumberFormat="1" applyFill="1" applyBorder="1" applyAlignment="1" applyProtection="1">
      <alignment horizontal="center"/>
      <protection/>
    </xf>
    <xf numFmtId="9" fontId="0" fillId="40" borderId="41" xfId="0" applyNumberFormat="1" applyFill="1" applyBorder="1" applyAlignment="1" applyProtection="1">
      <alignment horizontal="center"/>
      <protection/>
    </xf>
    <xf numFmtId="9" fontId="0" fillId="40" borderId="41" xfId="0" applyNumberFormat="1" applyFont="1" applyFill="1" applyBorder="1" applyAlignment="1" applyProtection="1">
      <alignment horizontal="center"/>
      <protection/>
    </xf>
    <xf numFmtId="10" fontId="3" fillId="0" borderId="52" xfId="71" applyNumberFormat="1" applyFont="1" applyFill="1" applyBorder="1" applyAlignment="1" applyProtection="1">
      <alignment horizontal="center"/>
      <protection/>
    </xf>
    <xf numFmtId="9" fontId="0" fillId="57" borderId="56" xfId="0" applyNumberFormat="1" applyFont="1" applyFill="1" applyBorder="1" applyAlignment="1" applyProtection="1">
      <alignment horizontal="center"/>
      <protection/>
    </xf>
    <xf numFmtId="9" fontId="0" fillId="50" borderId="54" xfId="0" applyNumberFormat="1" applyFill="1" applyBorder="1" applyAlignment="1" applyProtection="1">
      <alignment horizontal="center"/>
      <protection/>
    </xf>
    <xf numFmtId="9" fontId="0" fillId="40" borderId="55" xfId="0" applyNumberFormat="1" applyFont="1" applyFill="1" applyBorder="1" applyAlignment="1" applyProtection="1">
      <alignment horizontal="center"/>
      <protection/>
    </xf>
    <xf numFmtId="0" fontId="0" fillId="48" borderId="0" xfId="0" applyFill="1" applyBorder="1" applyAlignment="1" applyProtection="1">
      <alignment horizontal="left"/>
      <protection/>
    </xf>
    <xf numFmtId="0" fontId="0" fillId="0" borderId="25" xfId="0" applyBorder="1" applyAlignment="1">
      <alignment/>
    </xf>
    <xf numFmtId="0" fontId="0" fillId="0" borderId="25" xfId="0" applyFill="1" applyBorder="1" applyAlignment="1" applyProtection="1">
      <alignment horizontal="left"/>
      <protection locked="0"/>
    </xf>
    <xf numFmtId="0" fontId="0" fillId="0" borderId="57" xfId="0" applyBorder="1" applyAlignment="1">
      <alignment/>
    </xf>
    <xf numFmtId="181" fontId="0" fillId="0" borderId="57" xfId="0" applyNumberFormat="1" applyBorder="1" applyAlignment="1">
      <alignment/>
    </xf>
    <xf numFmtId="3" fontId="0" fillId="0" borderId="25" xfId="0" applyNumberFormat="1" applyBorder="1" applyAlignment="1">
      <alignment/>
    </xf>
    <xf numFmtId="3" fontId="0" fillId="0" borderId="25" xfId="0" applyNumberFormat="1" applyFont="1" applyFill="1" applyBorder="1" applyAlignment="1" applyProtection="1">
      <alignment horizontal="right"/>
      <protection locked="0"/>
    </xf>
    <xf numFmtId="2" fontId="0" fillId="0" borderId="57" xfId="0" applyNumberFormat="1" applyBorder="1" applyAlignment="1">
      <alignment/>
    </xf>
    <xf numFmtId="4" fontId="0" fillId="0" borderId="25" xfId="0" applyNumberFormat="1" applyFont="1" applyFill="1" applyBorder="1" applyAlignment="1" applyProtection="1">
      <alignment horizontal="right"/>
      <protection locked="0"/>
    </xf>
    <xf numFmtId="4" fontId="0" fillId="0" borderId="25" xfId="0" applyNumberFormat="1" applyBorder="1" applyAlignment="1">
      <alignment/>
    </xf>
    <xf numFmtId="181" fontId="0" fillId="0" borderId="25" xfId="0" applyNumberFormat="1" applyBorder="1" applyAlignment="1">
      <alignment/>
    </xf>
    <xf numFmtId="181" fontId="0" fillId="0" borderId="0" xfId="0" applyNumberFormat="1" applyAlignment="1">
      <alignment/>
    </xf>
    <xf numFmtId="0" fontId="0" fillId="0" borderId="27" xfId="0" applyFill="1" applyBorder="1" applyAlignment="1" applyProtection="1">
      <alignment horizontal="left"/>
      <protection locked="0"/>
    </xf>
    <xf numFmtId="181" fontId="0" fillId="0" borderId="25" xfId="0" applyNumberFormat="1" applyFont="1" applyFill="1" applyBorder="1" applyAlignment="1" applyProtection="1">
      <alignment horizontal="right"/>
      <protection locked="0"/>
    </xf>
    <xf numFmtId="165" fontId="0" fillId="0" borderId="0" xfId="0" applyNumberFormat="1" applyAlignment="1">
      <alignment/>
    </xf>
    <xf numFmtId="183" fontId="0" fillId="0" borderId="0" xfId="0" applyNumberFormat="1" applyAlignment="1">
      <alignment/>
    </xf>
    <xf numFmtId="0" fontId="0" fillId="61" borderId="30" xfId="0" applyFont="1" applyFill="1" applyBorder="1" applyAlignment="1" applyProtection="1">
      <alignment vertical="top"/>
      <protection/>
    </xf>
    <xf numFmtId="0" fontId="0" fillId="39" borderId="15" xfId="0" applyFill="1" applyBorder="1" applyAlignment="1" applyProtection="1">
      <alignment/>
      <protection/>
    </xf>
    <xf numFmtId="0" fontId="0" fillId="62" borderId="0" xfId="0" applyFill="1" applyAlignment="1" applyProtection="1">
      <alignment/>
      <protection/>
    </xf>
    <xf numFmtId="0" fontId="0" fillId="39" borderId="0" xfId="0" applyFill="1" applyAlignment="1" applyProtection="1">
      <alignment/>
      <protection/>
    </xf>
    <xf numFmtId="0" fontId="0" fillId="62" borderId="1" xfId="0" applyFill="1" applyBorder="1" applyAlignment="1" applyProtection="1">
      <alignment/>
      <protection/>
    </xf>
    <xf numFmtId="0" fontId="0" fillId="39" borderId="0" xfId="0" applyFont="1" applyFill="1" applyAlignment="1" applyProtection="1">
      <alignment/>
      <protection/>
    </xf>
    <xf numFmtId="0" fontId="0" fillId="39" borderId="0" xfId="0" applyFill="1" applyAlignment="1" applyProtection="1">
      <alignment horizontal="center"/>
      <protection/>
    </xf>
    <xf numFmtId="0" fontId="3" fillId="61" borderId="30" xfId="0" applyFont="1" applyFill="1" applyBorder="1" applyAlignment="1" applyProtection="1">
      <alignment/>
      <protection/>
    </xf>
    <xf numFmtId="3" fontId="0" fillId="63" borderId="29" xfId="0" applyNumberFormat="1" applyFont="1" applyFill="1" applyBorder="1" applyAlignment="1" applyProtection="1">
      <alignment horizontal="center"/>
      <protection/>
    </xf>
    <xf numFmtId="3" fontId="0" fillId="64" borderId="29" xfId="0" applyNumberFormat="1" applyFill="1" applyBorder="1" applyAlignment="1" applyProtection="1">
      <alignment horizontal="center"/>
      <protection locked="0"/>
    </xf>
    <xf numFmtId="9" fontId="0" fillId="43" borderId="29" xfId="0" applyNumberFormat="1" applyFont="1" applyFill="1" applyBorder="1" applyAlignment="1" applyProtection="1">
      <alignment horizontal="center"/>
      <protection/>
    </xf>
    <xf numFmtId="165" fontId="0" fillId="43" borderId="29" xfId="0" applyNumberFormat="1" applyFont="1" applyFill="1" applyBorder="1" applyAlignment="1" applyProtection="1">
      <alignment horizontal="center"/>
      <protection/>
    </xf>
    <xf numFmtId="0" fontId="0" fillId="0" borderId="58" xfId="0" applyBorder="1" applyAlignment="1" applyProtection="1">
      <alignment/>
      <protection/>
    </xf>
    <xf numFmtId="0" fontId="0" fillId="0" borderId="58" xfId="0" applyFont="1" applyFill="1" applyBorder="1" applyAlignment="1" applyProtection="1">
      <alignment/>
      <protection/>
    </xf>
    <xf numFmtId="0" fontId="0" fillId="0" borderId="59" xfId="0" applyBorder="1" applyAlignment="1" applyProtection="1">
      <alignment/>
      <protection/>
    </xf>
    <xf numFmtId="0" fontId="0" fillId="48" borderId="15" xfId="0" applyFill="1" applyBorder="1" applyAlignment="1" applyProtection="1">
      <alignment horizontal="left"/>
      <protection/>
    </xf>
    <xf numFmtId="0" fontId="0" fillId="39" borderId="27" xfId="0" applyFill="1" applyBorder="1" applyAlignment="1" applyProtection="1">
      <alignment/>
      <protection/>
    </xf>
    <xf numFmtId="9" fontId="0" fillId="0" borderId="33" xfId="0" applyNumberFormat="1" applyFont="1" applyFill="1" applyBorder="1" applyAlignment="1" applyProtection="1">
      <alignment horizontal="center"/>
      <protection/>
    </xf>
    <xf numFmtId="9" fontId="0" fillId="52" borderId="33" xfId="0" applyNumberFormat="1" applyFont="1" applyFill="1" applyBorder="1" applyAlignment="1" applyProtection="1">
      <alignment horizontal="center"/>
      <protection/>
    </xf>
    <xf numFmtId="9" fontId="0" fillId="0" borderId="33" xfId="0" applyNumberFormat="1" applyBorder="1" applyAlignment="1" applyProtection="1">
      <alignment horizontal="center"/>
      <protection/>
    </xf>
    <xf numFmtId="9" fontId="0" fillId="49" borderId="33" xfId="0" applyNumberFormat="1" applyFill="1" applyBorder="1" applyAlignment="1" applyProtection="1">
      <alignment horizontal="center"/>
      <protection/>
    </xf>
    <xf numFmtId="9" fontId="0" fillId="0" borderId="0" xfId="0" applyNumberFormat="1" applyAlignment="1" applyProtection="1">
      <alignment horizontal="center"/>
      <protection/>
    </xf>
    <xf numFmtId="0" fontId="0" fillId="0" borderId="58" xfId="0" applyFill="1" applyBorder="1" applyAlignment="1" applyProtection="1">
      <alignment/>
      <protection/>
    </xf>
    <xf numFmtId="3" fontId="0" fillId="0" borderId="25" xfId="0" applyNumberFormat="1" applyBorder="1" applyAlignment="1">
      <alignment horizontal="right"/>
    </xf>
    <xf numFmtId="0" fontId="26" fillId="39" borderId="60" xfId="0" applyFont="1" applyFill="1" applyBorder="1" applyAlignment="1" applyProtection="1">
      <alignment horizontal="center" vertical="center"/>
      <protection/>
    </xf>
    <xf numFmtId="0" fontId="0" fillId="62" borderId="0" xfId="0" applyFill="1" applyBorder="1" applyAlignment="1" applyProtection="1">
      <alignment/>
      <protection/>
    </xf>
    <xf numFmtId="0" fontId="0" fillId="62" borderId="19" xfId="0" applyFill="1" applyBorder="1" applyAlignment="1" applyProtection="1">
      <alignment/>
      <protection/>
    </xf>
    <xf numFmtId="0" fontId="0" fillId="48" borderId="15" xfId="0" applyFill="1" applyBorder="1" applyAlignment="1" applyProtection="1">
      <alignment horizontal="right"/>
      <protection/>
    </xf>
    <xf numFmtId="0" fontId="0" fillId="61" borderId="30" xfId="0" applyFill="1" applyBorder="1" applyAlignment="1" applyProtection="1">
      <alignment/>
      <protection/>
    </xf>
    <xf numFmtId="2" fontId="0" fillId="57" borderId="25" xfId="0" applyNumberFormat="1" applyFill="1" applyBorder="1" applyAlignment="1">
      <alignment/>
    </xf>
    <xf numFmtId="2" fontId="0" fillId="0" borderId="25" xfId="0" applyNumberFormat="1" applyFont="1" applyBorder="1" applyAlignment="1">
      <alignment/>
    </xf>
    <xf numFmtId="0" fontId="0" fillId="46" borderId="15" xfId="0" applyFill="1" applyBorder="1" applyAlignment="1" applyProtection="1">
      <alignment/>
      <protection locked="0"/>
    </xf>
    <xf numFmtId="0" fontId="0" fillId="46" borderId="0" xfId="0" applyFont="1" applyFill="1" applyBorder="1" applyAlignment="1" applyProtection="1">
      <alignment horizontal="center" vertical="center"/>
      <protection/>
    </xf>
    <xf numFmtId="0" fontId="0" fillId="46" borderId="0" xfId="0" applyFont="1" applyFill="1" applyBorder="1" applyAlignment="1" applyProtection="1">
      <alignment horizontal="center"/>
      <protection/>
    </xf>
    <xf numFmtId="0" fontId="0" fillId="61" borderId="13" xfId="0" applyFill="1" applyBorder="1" applyAlignment="1" applyProtection="1">
      <alignment horizontal="left"/>
      <protection/>
    </xf>
    <xf numFmtId="0" fontId="0" fillId="61" borderId="13" xfId="0" applyFont="1" applyFill="1" applyBorder="1" applyAlignment="1" applyProtection="1">
      <alignment horizontal="left"/>
      <protection/>
    </xf>
    <xf numFmtId="0" fontId="0" fillId="61" borderId="0" xfId="0" applyFont="1" applyFill="1" applyBorder="1" applyAlignment="1" applyProtection="1">
      <alignment horizontal="left"/>
      <protection/>
    </xf>
    <xf numFmtId="0" fontId="0" fillId="61" borderId="29" xfId="0" applyFont="1" applyFill="1" applyBorder="1" applyAlignment="1" applyProtection="1">
      <alignment horizontal="left"/>
      <protection/>
    </xf>
    <xf numFmtId="0" fontId="0" fillId="61" borderId="29" xfId="0" applyFill="1" applyBorder="1" applyAlignment="1" applyProtection="1">
      <alignment horizontal="left"/>
      <protection/>
    </xf>
    <xf numFmtId="0" fontId="8" fillId="48" borderId="17" xfId="62" applyNumberFormat="1" applyFont="1" applyFill="1" applyBorder="1" applyProtection="1">
      <alignment horizontal="center" vertical="center"/>
      <protection/>
    </xf>
    <xf numFmtId="0" fontId="8" fillId="33" borderId="17" xfId="62" applyNumberFormat="1" applyFont="1" applyFill="1" applyBorder="1" applyProtection="1">
      <alignment horizontal="center" vertical="center"/>
      <protection/>
    </xf>
    <xf numFmtId="0" fontId="8" fillId="47" borderId="17" xfId="62" applyNumberFormat="1" applyFont="1" applyFill="1" applyBorder="1" applyProtection="1">
      <alignment horizontal="center" vertical="center"/>
      <protection/>
    </xf>
    <xf numFmtId="0" fontId="8" fillId="49" borderId="17" xfId="62" applyNumberFormat="1" applyFont="1" applyFill="1" applyBorder="1" applyProtection="1">
      <alignment horizontal="center" vertical="center"/>
      <protection/>
    </xf>
    <xf numFmtId="169" fontId="0" fillId="43" borderId="14" xfId="0" applyNumberFormat="1" applyFill="1" applyBorder="1" applyAlignment="1" applyProtection="1">
      <alignment horizontal="right"/>
      <protection/>
    </xf>
    <xf numFmtId="166" fontId="0" fillId="43" borderId="16" xfId="0" applyNumberFormat="1" applyFill="1" applyBorder="1" applyAlignment="1" applyProtection="1">
      <alignment horizontal="right"/>
      <protection/>
    </xf>
    <xf numFmtId="169" fontId="0" fillId="43" borderId="16" xfId="0" applyNumberFormat="1" applyFill="1" applyBorder="1" applyAlignment="1" applyProtection="1">
      <alignment horizontal="right"/>
      <protection/>
    </xf>
    <xf numFmtId="165" fontId="0" fillId="48" borderId="4" xfId="0" applyNumberFormat="1" applyFill="1" applyBorder="1" applyAlignment="1" applyProtection="1">
      <alignment horizontal="center" vertical="center"/>
      <protection/>
    </xf>
    <xf numFmtId="2" fontId="0" fillId="0" borderId="25" xfId="0" applyNumberFormat="1" applyBorder="1" applyAlignment="1">
      <alignment horizontal="right"/>
    </xf>
    <xf numFmtId="0" fontId="0" fillId="0" borderId="25" xfId="0" applyFont="1" applyBorder="1" applyAlignment="1">
      <alignment horizontal="right"/>
    </xf>
    <xf numFmtId="186" fontId="0" fillId="0" borderId="0" xfId="0" applyNumberFormat="1" applyAlignment="1">
      <alignment/>
    </xf>
    <xf numFmtId="0" fontId="0" fillId="39" borderId="1" xfId="0" applyFill="1" applyBorder="1" applyAlignment="1" applyProtection="1">
      <alignment horizontal="center" vertical="center"/>
      <protection/>
    </xf>
    <xf numFmtId="9" fontId="0" fillId="62" borderId="13" xfId="0" applyNumberFormat="1" applyFill="1" applyBorder="1" applyAlignment="1" applyProtection="1">
      <alignment horizontal="center" vertical="center"/>
      <protection/>
    </xf>
    <xf numFmtId="0" fontId="0" fillId="39" borderId="0" xfId="0" applyFill="1" applyAlignment="1" applyProtection="1">
      <alignment horizontal="center" vertical="center"/>
      <protection/>
    </xf>
    <xf numFmtId="0" fontId="0" fillId="0" borderId="57" xfId="0" applyBorder="1" applyAlignment="1">
      <alignment horizontal="center"/>
    </xf>
    <xf numFmtId="0" fontId="23" fillId="0" borderId="57" xfId="0" applyFont="1" applyBorder="1" applyAlignment="1">
      <alignment horizontal="center"/>
    </xf>
    <xf numFmtId="1" fontId="0" fillId="0" borderId="57" xfId="0" applyNumberFormat="1" applyBorder="1" applyAlignment="1">
      <alignment horizontal="center"/>
    </xf>
    <xf numFmtId="0" fontId="0" fillId="0" borderId="61" xfId="0" applyBorder="1" applyAlignment="1">
      <alignment/>
    </xf>
    <xf numFmtId="0" fontId="0" fillId="0" borderId="61" xfId="0" applyFont="1" applyBorder="1" applyAlignment="1">
      <alignment horizontal="center"/>
    </xf>
    <xf numFmtId="0" fontId="0" fillId="0" borderId="62" xfId="0" applyBorder="1" applyAlignment="1">
      <alignment/>
    </xf>
    <xf numFmtId="165" fontId="0" fillId="0" borderId="62" xfId="0" applyNumberFormat="1" applyBorder="1" applyAlignment="1">
      <alignment horizontal="center"/>
    </xf>
    <xf numFmtId="0" fontId="0" fillId="0" borderId="62" xfId="0" applyFont="1" applyBorder="1" applyAlignment="1">
      <alignment horizontal="center"/>
    </xf>
    <xf numFmtId="0" fontId="0" fillId="0" borderId="63" xfId="0" applyBorder="1" applyAlignment="1">
      <alignment/>
    </xf>
    <xf numFmtId="0" fontId="0" fillId="0" borderId="63" xfId="0" applyBorder="1" applyAlignment="1">
      <alignment horizontal="center"/>
    </xf>
    <xf numFmtId="0" fontId="0" fillId="0" borderId="63" xfId="0" applyFont="1" applyBorder="1" applyAlignment="1">
      <alignment horizontal="center"/>
    </xf>
    <xf numFmtId="0" fontId="0" fillId="0" borderId="63" xfId="0" applyFont="1" applyBorder="1" applyAlignment="1">
      <alignment/>
    </xf>
    <xf numFmtId="2" fontId="0" fillId="0" borderId="63" xfId="0" applyNumberFormat="1" applyBorder="1" applyAlignment="1">
      <alignment horizontal="center"/>
    </xf>
    <xf numFmtId="0" fontId="0" fillId="0" borderId="0" xfId="0" applyNumberFormat="1" applyAlignment="1">
      <alignment horizontal="center"/>
    </xf>
    <xf numFmtId="0" fontId="0" fillId="0" borderId="0" xfId="0" applyFill="1" applyAlignment="1">
      <alignment/>
    </xf>
    <xf numFmtId="181" fontId="0" fillId="44" borderId="13" xfId="0" applyNumberFormat="1" applyFont="1" applyFill="1" applyBorder="1" applyAlignment="1" applyProtection="1">
      <alignment horizontal="center"/>
      <protection/>
    </xf>
    <xf numFmtId="181" fontId="0" fillId="46" borderId="13" xfId="0" applyNumberFormat="1" applyFont="1" applyFill="1" applyBorder="1" applyAlignment="1" applyProtection="1">
      <alignment horizontal="center"/>
      <protection locked="0"/>
    </xf>
    <xf numFmtId="181" fontId="0" fillId="0" borderId="33" xfId="0" applyNumberFormat="1" applyFont="1" applyBorder="1" applyAlignment="1">
      <alignment horizontal="center"/>
    </xf>
    <xf numFmtId="4" fontId="0" fillId="57" borderId="25" xfId="0" applyNumberFormat="1" applyFill="1" applyBorder="1" applyAlignment="1">
      <alignment horizontal="center"/>
    </xf>
    <xf numFmtId="4" fontId="0" fillId="30" borderId="33" xfId="0" applyNumberFormat="1" applyFont="1" applyFill="1" applyBorder="1" applyAlignment="1" applyProtection="1">
      <alignment horizontal="center"/>
      <protection/>
    </xf>
    <xf numFmtId="181" fontId="0" fillId="0" borderId="33" xfId="0" applyNumberFormat="1" applyBorder="1" applyAlignment="1" applyProtection="1">
      <alignment horizontal="center"/>
      <protection/>
    </xf>
    <xf numFmtId="181" fontId="0" fillId="30" borderId="33" xfId="0" applyNumberFormat="1" applyFont="1" applyFill="1" applyBorder="1" applyAlignment="1" applyProtection="1">
      <alignment horizontal="center"/>
      <protection/>
    </xf>
    <xf numFmtId="181" fontId="0" fillId="0" borderId="0" xfId="0" applyNumberFormat="1" applyAlignment="1" applyProtection="1">
      <alignment horizontal="center"/>
      <protection/>
    </xf>
    <xf numFmtId="2" fontId="0" fillId="0" borderId="0" xfId="0" applyNumberFormat="1" applyAlignment="1" applyProtection="1">
      <alignment horizontal="center"/>
      <protection/>
    </xf>
    <xf numFmtId="0" fontId="0" fillId="0" borderId="27" xfId="0" applyFont="1" applyFill="1" applyBorder="1" applyAlignment="1">
      <alignment/>
    </xf>
    <xf numFmtId="0" fontId="0" fillId="0" borderId="25" xfId="0" applyBorder="1" applyAlignment="1">
      <alignment horizontal="left"/>
    </xf>
    <xf numFmtId="10" fontId="0" fillId="0" borderId="25" xfId="0" applyNumberFormat="1" applyBorder="1" applyAlignment="1">
      <alignment horizontal="left"/>
    </xf>
    <xf numFmtId="0" fontId="0" fillId="0" borderId="25" xfId="0" applyFont="1" applyBorder="1" applyAlignment="1">
      <alignment horizontal="left"/>
    </xf>
    <xf numFmtId="181" fontId="0" fillId="0" borderId="25" xfId="0" applyNumberFormat="1" applyFont="1" applyBorder="1" applyAlignment="1">
      <alignment/>
    </xf>
    <xf numFmtId="4" fontId="0" fillId="0" borderId="25" xfId="0" applyNumberFormat="1" applyFont="1" applyBorder="1" applyAlignment="1">
      <alignment/>
    </xf>
    <xf numFmtId="183" fontId="0" fillId="0" borderId="0" xfId="0" applyNumberFormat="1" applyAlignment="1">
      <alignment horizontal="right"/>
    </xf>
    <xf numFmtId="1" fontId="0" fillId="0" borderId="0" xfId="0" applyNumberFormat="1" applyAlignment="1">
      <alignment/>
    </xf>
    <xf numFmtId="181" fontId="0" fillId="44" borderId="0" xfId="0" applyNumberFormat="1" applyFont="1" applyFill="1" applyBorder="1" applyAlignment="1" applyProtection="1">
      <alignment horizontal="center"/>
      <protection/>
    </xf>
    <xf numFmtId="181" fontId="0" fillId="46" borderId="0" xfId="0" applyNumberFormat="1" applyFont="1" applyFill="1" applyBorder="1" applyAlignment="1" applyProtection="1">
      <alignment horizontal="center"/>
      <protection locked="0"/>
    </xf>
    <xf numFmtId="181" fontId="0" fillId="63" borderId="29" xfId="0" applyNumberFormat="1" applyFont="1" applyFill="1" applyBorder="1" applyAlignment="1" applyProtection="1">
      <alignment horizontal="center"/>
      <protection/>
    </xf>
    <xf numFmtId="182" fontId="0" fillId="63" borderId="29" xfId="0" applyNumberFormat="1" applyFont="1" applyFill="1" applyBorder="1" applyAlignment="1" applyProtection="1">
      <alignment horizontal="center"/>
      <protection/>
    </xf>
    <xf numFmtId="181" fontId="0" fillId="64" borderId="29" xfId="48" applyNumberFormat="1" applyFont="1" applyFill="1" applyBorder="1" applyAlignment="1" applyProtection="1">
      <alignment horizontal="center"/>
      <protection locked="0"/>
    </xf>
    <xf numFmtId="181" fontId="0" fillId="39" borderId="0" xfId="0" applyNumberFormat="1" applyFill="1" applyAlignment="1" applyProtection="1">
      <alignment horizontal="center"/>
      <protection/>
    </xf>
    <xf numFmtId="181" fontId="0" fillId="46" borderId="13" xfId="0" applyNumberFormat="1" applyFill="1" applyBorder="1" applyAlignment="1" applyProtection="1">
      <alignment horizontal="center"/>
      <protection locked="0"/>
    </xf>
    <xf numFmtId="181" fontId="0" fillId="46" borderId="0" xfId="0" applyNumberFormat="1" applyFill="1" applyBorder="1" applyAlignment="1" applyProtection="1">
      <alignment horizontal="center"/>
      <protection locked="0"/>
    </xf>
    <xf numFmtId="181" fontId="0" fillId="44" borderId="1" xfId="0" applyNumberFormat="1" applyFont="1" applyFill="1" applyBorder="1" applyAlignment="1" applyProtection="1">
      <alignment horizontal="center"/>
      <protection/>
    </xf>
    <xf numFmtId="181" fontId="0" fillId="46" borderId="1" xfId="0" applyNumberFormat="1" applyFill="1" applyBorder="1" applyAlignment="1" applyProtection="1">
      <alignment horizontal="center"/>
      <protection locked="0"/>
    </xf>
    <xf numFmtId="181" fontId="0" fillId="65" borderId="29" xfId="0" applyNumberFormat="1" applyFont="1" applyFill="1" applyBorder="1" applyAlignment="1" applyProtection="1">
      <alignment horizontal="center"/>
      <protection hidden="1"/>
    </xf>
    <xf numFmtId="182" fontId="0" fillId="65" borderId="29" xfId="0" applyNumberFormat="1" applyFill="1" applyBorder="1" applyAlignment="1" applyProtection="1">
      <alignment horizontal="center"/>
      <protection/>
    </xf>
    <xf numFmtId="0" fontId="0" fillId="39" borderId="15" xfId="0" applyFont="1" applyFill="1" applyBorder="1" applyAlignment="1">
      <alignment/>
    </xf>
    <xf numFmtId="0" fontId="3" fillId="66" borderId="16" xfId="0" applyFont="1" applyFill="1" applyBorder="1" applyAlignment="1" applyProtection="1">
      <alignment horizontal="left"/>
      <protection locked="0"/>
    </xf>
    <xf numFmtId="0" fontId="21" fillId="0" borderId="64" xfId="0" applyFont="1" applyBorder="1" applyAlignment="1" applyProtection="1">
      <alignment horizontal="left" vertical="center"/>
      <protection/>
    </xf>
    <xf numFmtId="0" fontId="0" fillId="39" borderId="1" xfId="0" applyFill="1" applyBorder="1" applyAlignment="1">
      <alignment/>
    </xf>
    <xf numFmtId="0" fontId="0" fillId="39" borderId="0" xfId="0" applyFill="1" applyAlignment="1">
      <alignment/>
    </xf>
    <xf numFmtId="0" fontId="3" fillId="43" borderId="4" xfId="0" applyFont="1" applyFill="1" applyBorder="1" applyAlignment="1" applyProtection="1">
      <alignment horizontal="center"/>
      <protection/>
    </xf>
    <xf numFmtId="0" fontId="0" fillId="0" borderId="4" xfId="0" applyFill="1" applyBorder="1" applyAlignment="1" applyProtection="1">
      <alignment/>
      <protection/>
    </xf>
    <xf numFmtId="0" fontId="26" fillId="67" borderId="0" xfId="0" applyFont="1" applyFill="1" applyBorder="1" applyAlignment="1" applyProtection="1">
      <alignment horizontal="center" vertical="center"/>
      <protection/>
    </xf>
    <xf numFmtId="0" fontId="0" fillId="0" borderId="65" xfId="0" applyBorder="1" applyAlignment="1" applyProtection="1">
      <alignment/>
      <protection locked="0"/>
    </xf>
    <xf numFmtId="0" fontId="0" fillId="0" borderId="66" xfId="0" applyBorder="1" applyAlignment="1" applyProtection="1">
      <alignment/>
      <protection locked="0"/>
    </xf>
    <xf numFmtId="0" fontId="0" fillId="0" borderId="67" xfId="0" applyBorder="1" applyAlignment="1" applyProtection="1">
      <alignment/>
      <protection locked="0"/>
    </xf>
    <xf numFmtId="0" fontId="46"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113" fillId="0" borderId="68" xfId="0" applyFont="1" applyBorder="1" applyAlignment="1" applyProtection="1">
      <alignment horizontal="left" vertical="center"/>
      <protection locked="0"/>
    </xf>
    <xf numFmtId="0" fontId="0" fillId="0" borderId="65" xfId="0" applyBorder="1" applyAlignment="1">
      <alignment/>
    </xf>
    <xf numFmtId="0" fontId="0" fillId="0" borderId="67" xfId="0" applyBorder="1" applyAlignment="1" applyProtection="1">
      <alignment/>
      <protection locked="0"/>
    </xf>
    <xf numFmtId="0" fontId="0" fillId="0" borderId="69" xfId="0" applyBorder="1" applyAlignment="1" applyProtection="1">
      <alignment/>
      <protection locked="0"/>
    </xf>
    <xf numFmtId="0" fontId="0" fillId="0" borderId="0" xfId="0" applyBorder="1" applyAlignment="1" applyProtection="1">
      <alignment/>
      <protection locked="0"/>
    </xf>
    <xf numFmtId="0" fontId="113" fillId="0" borderId="68" xfId="0" applyFont="1" applyBorder="1" applyAlignment="1" applyProtection="1">
      <alignment/>
      <protection locked="0"/>
    </xf>
    <xf numFmtId="0" fontId="0" fillId="0" borderId="65" xfId="0" applyFont="1" applyFill="1" applyBorder="1" applyAlignment="1" applyProtection="1">
      <alignment/>
      <protection locked="0"/>
    </xf>
    <xf numFmtId="0" fontId="0" fillId="0" borderId="65" xfId="0" applyFill="1" applyBorder="1" applyAlignment="1" applyProtection="1">
      <alignment/>
      <protection locked="0"/>
    </xf>
    <xf numFmtId="0" fontId="114" fillId="0" borderId="68" xfId="0" applyFont="1" applyBorder="1" applyAlignment="1" applyProtection="1">
      <alignment horizontal="left" vertical="center"/>
      <protection locked="0"/>
    </xf>
    <xf numFmtId="0" fontId="0" fillId="0" borderId="65" xfId="0" applyBorder="1" applyAlignment="1" applyProtection="1">
      <alignment vertical="center"/>
      <protection locked="0"/>
    </xf>
    <xf numFmtId="164" fontId="3" fillId="48" borderId="4" xfId="0" applyNumberFormat="1" applyFont="1" applyFill="1" applyBorder="1" applyAlignment="1" applyProtection="1">
      <alignment horizontal="center"/>
      <protection/>
    </xf>
    <xf numFmtId="164" fontId="0" fillId="0" borderId="4" xfId="0" applyNumberFormat="1" applyBorder="1" applyAlignment="1" applyProtection="1">
      <alignment horizontal="center"/>
      <protection/>
    </xf>
    <xf numFmtId="164" fontId="0" fillId="50" borderId="4" xfId="0" applyNumberFormat="1" applyFill="1" applyBorder="1" applyAlignment="1" applyProtection="1">
      <alignment horizontal="center"/>
      <protection/>
    </xf>
    <xf numFmtId="4" fontId="0" fillId="0" borderId="4" xfId="0" applyNumberFormat="1" applyBorder="1" applyAlignment="1" applyProtection="1">
      <alignment horizontal="center"/>
      <protection/>
    </xf>
    <xf numFmtId="0" fontId="113" fillId="0" borderId="44" xfId="0" applyFont="1" applyBorder="1" applyAlignment="1" applyProtection="1">
      <alignment/>
      <protection locked="0"/>
    </xf>
    <xf numFmtId="0" fontId="0" fillId="0" borderId="49" xfId="0" applyBorder="1" applyAlignment="1" applyProtection="1">
      <alignment/>
      <protection locked="0"/>
    </xf>
    <xf numFmtId="0" fontId="0" fillId="0" borderId="70" xfId="0" applyBorder="1" applyAlignment="1" applyProtection="1">
      <alignment/>
      <protection locked="0"/>
    </xf>
    <xf numFmtId="0" fontId="0" fillId="0" borderId="4" xfId="0" applyBorder="1" applyAlignment="1" applyProtection="1">
      <alignment/>
      <protection/>
    </xf>
    <xf numFmtId="164" fontId="0" fillId="43" borderId="4" xfId="0" applyNumberFormat="1" applyFill="1" applyBorder="1" applyAlignment="1" applyProtection="1">
      <alignment/>
      <protection/>
    </xf>
    <xf numFmtId="0" fontId="3" fillId="50" borderId="4" xfId="0" applyFont="1" applyFill="1" applyBorder="1" applyAlignment="1" applyProtection="1">
      <alignment horizontal="center" vertical="center"/>
      <protection/>
    </xf>
    <xf numFmtId="0" fontId="0" fillId="50" borderId="19" xfId="0" applyFill="1" applyBorder="1" applyAlignment="1" applyProtection="1">
      <alignment horizontal="center" vertical="center"/>
      <protection/>
    </xf>
    <xf numFmtId="0" fontId="0" fillId="0" borderId="65" xfId="0" applyFont="1" applyBorder="1" applyAlignment="1" applyProtection="1">
      <alignment/>
      <protection locked="0"/>
    </xf>
    <xf numFmtId="10" fontId="0" fillId="68" borderId="13" xfId="0" applyNumberFormat="1" applyFont="1" applyFill="1" applyBorder="1" applyAlignment="1" applyProtection="1">
      <alignment horizontal="center"/>
      <protection/>
    </xf>
    <xf numFmtId="10" fontId="0" fillId="68" borderId="0" xfId="0" applyNumberFormat="1" applyFont="1" applyFill="1" applyBorder="1" applyAlignment="1" applyProtection="1">
      <alignment horizontal="center"/>
      <protection/>
    </xf>
    <xf numFmtId="9" fontId="0" fillId="68" borderId="0" xfId="0" applyNumberFormat="1" applyFont="1" applyFill="1" applyBorder="1" applyAlignment="1" applyProtection="1">
      <alignment horizontal="center"/>
      <protection/>
    </xf>
    <xf numFmtId="9" fontId="0" fillId="68" borderId="1" xfId="0" applyNumberFormat="1" applyFont="1" applyFill="1" applyBorder="1" applyAlignment="1" applyProtection="1">
      <alignment horizontal="center"/>
      <protection/>
    </xf>
    <xf numFmtId="10" fontId="0" fillId="68" borderId="29" xfId="0" applyNumberFormat="1" applyFont="1" applyFill="1" applyBorder="1" applyAlignment="1" applyProtection="1">
      <alignment horizontal="center"/>
      <protection/>
    </xf>
    <xf numFmtId="181" fontId="0" fillId="68" borderId="13" xfId="0" applyNumberFormat="1" applyFont="1" applyFill="1" applyBorder="1" applyAlignment="1" applyProtection="1">
      <alignment horizontal="center"/>
      <protection/>
    </xf>
    <xf numFmtId="181" fontId="0" fillId="68" borderId="0" xfId="0" applyNumberFormat="1" applyFont="1" applyFill="1" applyBorder="1" applyAlignment="1" applyProtection="1">
      <alignment horizontal="center"/>
      <protection/>
    </xf>
    <xf numFmtId="181" fontId="0" fillId="68" borderId="19" xfId="0" applyNumberFormat="1" applyFont="1" applyFill="1" applyBorder="1" applyAlignment="1" applyProtection="1">
      <alignment horizontal="center"/>
      <protection/>
    </xf>
    <xf numFmtId="181" fontId="0" fillId="68" borderId="4" xfId="0" applyNumberFormat="1" applyFont="1" applyFill="1" applyBorder="1" applyAlignment="1" applyProtection="1">
      <alignment horizontal="center"/>
      <protection/>
    </xf>
    <xf numFmtId="165" fontId="0" fillId="68" borderId="13" xfId="0" applyNumberFormat="1" applyFont="1" applyFill="1" applyBorder="1" applyAlignment="1" applyProtection="1">
      <alignment horizontal="center"/>
      <protection/>
    </xf>
    <xf numFmtId="165" fontId="0" fillId="68" borderId="0" xfId="0" applyNumberFormat="1" applyFont="1" applyFill="1" applyBorder="1" applyAlignment="1" applyProtection="1">
      <alignment horizontal="center"/>
      <protection/>
    </xf>
    <xf numFmtId="182" fontId="0" fillId="68" borderId="29" xfId="0" applyNumberFormat="1" applyFont="1" applyFill="1" applyBorder="1" applyAlignment="1" applyProtection="1">
      <alignment horizontal="center"/>
      <protection/>
    </xf>
    <xf numFmtId="3" fontId="0" fillId="68" borderId="29" xfId="0" applyNumberFormat="1" applyFont="1" applyFill="1" applyBorder="1" applyAlignment="1" applyProtection="1">
      <alignment horizontal="center"/>
      <protection/>
    </xf>
    <xf numFmtId="181" fontId="0" fillId="68" borderId="29" xfId="0" applyNumberFormat="1" applyFont="1" applyFill="1" applyBorder="1" applyAlignment="1" applyProtection="1">
      <alignment horizontal="center"/>
      <protection/>
    </xf>
    <xf numFmtId="181" fontId="0" fillId="68" borderId="71" xfId="0" applyNumberFormat="1" applyFont="1" applyFill="1" applyBorder="1" applyAlignment="1" applyProtection="1">
      <alignment horizontal="center"/>
      <protection/>
    </xf>
    <xf numFmtId="181" fontId="0" fillId="68" borderId="1" xfId="0" applyNumberFormat="1" applyFont="1" applyFill="1" applyBorder="1" applyAlignment="1" applyProtection="1">
      <alignment horizontal="center"/>
      <protection/>
    </xf>
    <xf numFmtId="9" fontId="0" fillId="68" borderId="29" xfId="0" applyNumberFormat="1" applyFont="1" applyFill="1" applyBorder="1" applyAlignment="1" applyProtection="1">
      <alignment horizontal="center"/>
      <protection/>
    </xf>
    <xf numFmtId="189" fontId="0" fillId="0" borderId="57" xfId="0" applyNumberFormat="1" applyBorder="1" applyAlignment="1">
      <alignment/>
    </xf>
    <xf numFmtId="3" fontId="3" fillId="43" borderId="29" xfId="0" applyNumberFormat="1" applyFont="1" applyFill="1" applyBorder="1" applyAlignment="1" applyProtection="1">
      <alignment horizontal="center"/>
      <protection/>
    </xf>
    <xf numFmtId="1" fontId="0" fillId="43" borderId="19" xfId="0" applyNumberFormat="1" applyFill="1" applyBorder="1" applyAlignment="1" applyProtection="1">
      <alignment horizontal="center"/>
      <protection/>
    </xf>
    <xf numFmtId="0" fontId="25" fillId="48" borderId="13" xfId="0" applyFont="1" applyFill="1" applyBorder="1" applyAlignment="1" applyProtection="1">
      <alignment horizontal="center" vertical="center"/>
      <protection/>
    </xf>
    <xf numFmtId="3" fontId="0" fillId="43" borderId="29" xfId="0" applyNumberFormat="1" applyFill="1" applyBorder="1" applyAlignment="1" applyProtection="1">
      <alignment/>
      <protection/>
    </xf>
    <xf numFmtId="3" fontId="0" fillId="43" borderId="29" xfId="0" applyNumberFormat="1" applyFont="1" applyFill="1" applyBorder="1" applyAlignment="1" applyProtection="1">
      <alignment/>
      <protection/>
    </xf>
    <xf numFmtId="1" fontId="0" fillId="46" borderId="72" xfId="0" applyNumberFormat="1" applyFill="1" applyBorder="1" applyAlignment="1" applyProtection="1">
      <alignment horizontal="center"/>
      <protection locked="0"/>
    </xf>
    <xf numFmtId="0" fontId="0" fillId="69" borderId="13" xfId="0" applyFont="1" applyFill="1" applyBorder="1" applyAlignment="1" applyProtection="1">
      <alignment horizontal="left"/>
      <protection/>
    </xf>
    <xf numFmtId="0" fontId="0" fillId="69" borderId="13" xfId="0" applyFill="1" applyBorder="1" applyAlignment="1" applyProtection="1">
      <alignment/>
      <protection/>
    </xf>
    <xf numFmtId="0" fontId="1" fillId="40" borderId="0" xfId="0" applyFont="1" applyFill="1" applyBorder="1" applyAlignment="1" applyProtection="1">
      <alignment horizontal="center" vertical="center"/>
      <protection/>
    </xf>
    <xf numFmtId="181" fontId="0" fillId="67" borderId="13" xfId="0" applyNumberFormat="1" applyFont="1" applyFill="1" applyBorder="1" applyAlignment="1" applyProtection="1">
      <alignment horizontal="center"/>
      <protection/>
    </xf>
    <xf numFmtId="181" fontId="0" fillId="70" borderId="13" xfId="0" applyNumberFormat="1" applyFill="1" applyBorder="1" applyAlignment="1" applyProtection="1">
      <alignment horizontal="center"/>
      <protection locked="0"/>
    </xf>
    <xf numFmtId="181" fontId="0" fillId="71" borderId="14" xfId="0" applyNumberFormat="1" applyFont="1" applyFill="1" applyBorder="1" applyAlignment="1" applyProtection="1">
      <alignment horizontal="center"/>
      <protection/>
    </xf>
    <xf numFmtId="10" fontId="0" fillId="0" borderId="33" xfId="0" applyNumberFormat="1" applyBorder="1" applyAlignment="1">
      <alignment horizontal="center"/>
    </xf>
    <xf numFmtId="0" fontId="0" fillId="46" borderId="16" xfId="0" applyFont="1" applyFill="1" applyBorder="1" applyAlignment="1" applyProtection="1">
      <alignment horizontal="center" wrapText="1"/>
      <protection locked="0"/>
    </xf>
    <xf numFmtId="3" fontId="0" fillId="46" borderId="19" xfId="0" applyNumberFormat="1" applyFont="1" applyFill="1" applyBorder="1" applyAlignment="1" applyProtection="1">
      <alignment horizontal="center"/>
      <protection locked="0"/>
    </xf>
    <xf numFmtId="0" fontId="0" fillId="46" borderId="0" xfId="0" applyFont="1" applyFill="1" applyBorder="1" applyAlignment="1" applyProtection="1">
      <alignment horizontal="center" vertical="center"/>
      <protection locked="0"/>
    </xf>
    <xf numFmtId="164" fontId="0" fillId="46" borderId="13" xfId="0" applyNumberFormat="1" applyFill="1" applyBorder="1" applyAlignment="1" applyProtection="1">
      <alignment/>
      <protection locked="0"/>
    </xf>
    <xf numFmtId="9" fontId="0" fillId="46" borderId="13" xfId="0" applyNumberFormat="1" applyFill="1" applyBorder="1" applyAlignment="1" applyProtection="1">
      <alignment/>
      <protection locked="0"/>
    </xf>
    <xf numFmtId="164" fontId="30" fillId="0" borderId="0" xfId="0" applyNumberFormat="1" applyFont="1" applyAlignment="1" applyProtection="1">
      <alignment horizontal="center"/>
      <protection/>
    </xf>
    <xf numFmtId="181" fontId="0" fillId="0" borderId="0" xfId="0" applyNumberFormat="1" applyAlignment="1" applyProtection="1">
      <alignment/>
      <protection/>
    </xf>
    <xf numFmtId="0" fontId="0" fillId="0" borderId="0" xfId="0" applyFill="1" applyAlignment="1" applyProtection="1">
      <alignment horizontal="center"/>
      <protection/>
    </xf>
    <xf numFmtId="0" fontId="0" fillId="72" borderId="0" xfId="0" applyFill="1" applyAlignment="1" applyProtection="1">
      <alignment horizontal="center"/>
      <protection/>
    </xf>
    <xf numFmtId="181" fontId="0" fillId="72" borderId="0" xfId="0" applyNumberFormat="1" applyFill="1" applyAlignment="1" applyProtection="1">
      <alignment horizontal="center"/>
      <protection/>
    </xf>
    <xf numFmtId="2" fontId="0" fillId="72" borderId="0" xfId="0" applyNumberFormat="1" applyFill="1" applyAlignment="1" applyProtection="1">
      <alignment horizontal="center"/>
      <protection/>
    </xf>
    <xf numFmtId="181" fontId="0" fillId="73" borderId="33" xfId="0" applyNumberFormat="1" applyFill="1" applyBorder="1" applyAlignment="1" applyProtection="1">
      <alignment horizontal="center"/>
      <protection/>
    </xf>
    <xf numFmtId="2" fontId="0" fillId="0" borderId="25" xfId="0" applyNumberFormat="1" applyBorder="1" applyAlignment="1">
      <alignment/>
    </xf>
    <xf numFmtId="2" fontId="0" fillId="0" borderId="25" xfId="0" applyNumberFormat="1" applyFont="1" applyFill="1" applyBorder="1" applyAlignment="1" applyProtection="1">
      <alignment horizontal="right"/>
      <protection locked="0"/>
    </xf>
    <xf numFmtId="1" fontId="0" fillId="43" borderId="1" xfId="0" applyNumberFormat="1" applyFill="1" applyBorder="1" applyAlignment="1">
      <alignment horizontal="center" vertical="center"/>
    </xf>
    <xf numFmtId="1" fontId="0" fillId="43" borderId="19" xfId="0" applyNumberFormat="1" applyFill="1" applyBorder="1" applyAlignment="1">
      <alignment horizontal="center" vertical="center"/>
    </xf>
    <xf numFmtId="10" fontId="0" fillId="74" borderId="0" xfId="0" applyNumberFormat="1" applyFill="1" applyAlignment="1">
      <alignment/>
    </xf>
    <xf numFmtId="165" fontId="0" fillId="0" borderId="25" xfId="0" applyNumberFormat="1" applyFill="1" applyBorder="1" applyAlignment="1">
      <alignment horizontal="right"/>
    </xf>
    <xf numFmtId="165" fontId="0" fillId="0" borderId="25" xfId="0" applyNumberFormat="1" applyFill="1" applyBorder="1" applyAlignment="1">
      <alignment/>
    </xf>
    <xf numFmtId="0" fontId="0" fillId="75" borderId="25" xfId="0" applyFont="1" applyFill="1" applyBorder="1" applyAlignment="1">
      <alignment/>
    </xf>
    <xf numFmtId="165" fontId="3" fillId="75" borderId="25" xfId="0" applyNumberFormat="1" applyFont="1" applyFill="1" applyBorder="1" applyAlignment="1">
      <alignment/>
    </xf>
    <xf numFmtId="181" fontId="3" fillId="75" borderId="25" xfId="0" applyNumberFormat="1" applyFont="1" applyFill="1" applyBorder="1" applyAlignment="1">
      <alignment/>
    </xf>
    <xf numFmtId="165" fontId="3" fillId="57" borderId="25" xfId="0" applyNumberFormat="1" applyFont="1" applyFill="1" applyBorder="1" applyAlignment="1">
      <alignment/>
    </xf>
    <xf numFmtId="0" fontId="0" fillId="0" borderId="25" xfId="0" applyFill="1" applyBorder="1" applyAlignment="1">
      <alignment horizontal="center"/>
    </xf>
    <xf numFmtId="181" fontId="0" fillId="30" borderId="61" xfId="0" applyNumberFormat="1" applyFont="1" applyFill="1" applyBorder="1" applyAlignment="1" applyProtection="1">
      <alignment horizontal="center"/>
      <protection/>
    </xf>
    <xf numFmtId="181" fontId="0" fillId="0" borderId="0" xfId="0" applyNumberFormat="1" applyFont="1" applyFill="1" applyBorder="1" applyAlignment="1" applyProtection="1">
      <alignment horizontal="center"/>
      <protection/>
    </xf>
    <xf numFmtId="165" fontId="3" fillId="57" borderId="33" xfId="0" applyNumberFormat="1" applyFont="1" applyFill="1" applyBorder="1" applyAlignment="1">
      <alignment horizontal="center"/>
    </xf>
    <xf numFmtId="166" fontId="3" fillId="57" borderId="33" xfId="0" applyNumberFormat="1" applyFont="1" applyFill="1" applyBorder="1" applyAlignment="1">
      <alignment horizontal="center"/>
    </xf>
    <xf numFmtId="182" fontId="0" fillId="0" borderId="0" xfId="0" applyNumberFormat="1" applyAlignment="1" applyProtection="1">
      <alignment horizontal="center"/>
      <protection/>
    </xf>
    <xf numFmtId="182" fontId="0" fillId="72" borderId="0" xfId="0" applyNumberFormat="1" applyFill="1" applyAlignment="1" applyProtection="1">
      <alignment horizontal="center"/>
      <protection/>
    </xf>
    <xf numFmtId="10" fontId="0" fillId="0" borderId="0" xfId="0" applyNumberFormat="1" applyAlignment="1" applyProtection="1">
      <alignment horizontal="center"/>
      <protection/>
    </xf>
    <xf numFmtId="10" fontId="0" fillId="30" borderId="61" xfId="0" applyNumberFormat="1" applyFont="1" applyFill="1" applyBorder="1" applyAlignment="1" applyProtection="1">
      <alignment horizontal="center"/>
      <protection/>
    </xf>
    <xf numFmtId="10" fontId="0" fillId="72" borderId="0" xfId="0" applyNumberFormat="1" applyFill="1" applyAlignment="1" applyProtection="1">
      <alignment horizontal="center"/>
      <protection/>
    </xf>
    <xf numFmtId="0" fontId="0" fillId="0" borderId="25" xfId="0" applyFont="1" applyFill="1" applyBorder="1" applyAlignment="1">
      <alignment/>
    </xf>
    <xf numFmtId="4" fontId="0" fillId="0" borderId="25" xfId="0" applyNumberFormat="1" applyFill="1" applyBorder="1" applyAlignment="1">
      <alignment horizontal="center"/>
    </xf>
    <xf numFmtId="0" fontId="0" fillId="0" borderId="25" xfId="0" applyFill="1" applyBorder="1" applyAlignment="1">
      <alignment/>
    </xf>
    <xf numFmtId="0" fontId="0" fillId="0" borderId="25" xfId="0" applyFont="1" applyFill="1" applyBorder="1" applyAlignment="1">
      <alignment horizontal="right"/>
    </xf>
    <xf numFmtId="2" fontId="0" fillId="0" borderId="0" xfId="0" applyNumberFormat="1" applyAlignment="1">
      <alignment/>
    </xf>
    <xf numFmtId="4" fontId="0" fillId="0" borderId="25" xfId="0" applyNumberFormat="1" applyFont="1" applyBorder="1" applyAlignment="1">
      <alignment horizontal="right"/>
    </xf>
    <xf numFmtId="185" fontId="0" fillId="0" borderId="25" xfId="0" applyNumberFormat="1" applyFill="1" applyBorder="1" applyAlignment="1">
      <alignment horizontal="center"/>
    </xf>
    <xf numFmtId="186" fontId="0" fillId="0" borderId="25" xfId="0" applyNumberFormat="1" applyFill="1" applyBorder="1" applyAlignment="1">
      <alignment horizontal="center"/>
    </xf>
    <xf numFmtId="0" fontId="0" fillId="0" borderId="0" xfId="0" applyBorder="1" applyAlignment="1" applyProtection="1">
      <alignment horizontal="center" vertical="center"/>
      <protection/>
    </xf>
    <xf numFmtId="1" fontId="4" fillId="0" borderId="0" xfId="0" applyNumberFormat="1" applyFont="1" applyFill="1" applyBorder="1" applyAlignment="1" applyProtection="1">
      <alignment/>
      <protection/>
    </xf>
    <xf numFmtId="1" fontId="4"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vertical="top"/>
      <protection/>
    </xf>
    <xf numFmtId="0" fontId="0" fillId="0" borderId="0" xfId="0" applyFill="1" applyBorder="1" applyAlignment="1" applyProtection="1">
      <alignment horizontal="center" vertical="center"/>
      <protection/>
    </xf>
    <xf numFmtId="181" fontId="0" fillId="0" borderId="33" xfId="0" applyNumberFormat="1" applyBorder="1" applyAlignment="1">
      <alignment horizontal="center"/>
    </xf>
    <xf numFmtId="165" fontId="0" fillId="57" borderId="28" xfId="0" applyNumberFormat="1" applyFill="1" applyBorder="1" applyAlignment="1">
      <alignment/>
    </xf>
    <xf numFmtId="0" fontId="0" fillId="0" borderId="27" xfId="0" applyFont="1" applyFill="1" applyBorder="1" applyAlignment="1" applyProtection="1">
      <alignment horizontal="left"/>
      <protection locked="0"/>
    </xf>
    <xf numFmtId="181" fontId="0" fillId="57" borderId="33" xfId="0" applyNumberFormat="1" applyFill="1" applyBorder="1" applyAlignment="1">
      <alignment horizontal="center"/>
    </xf>
    <xf numFmtId="164" fontId="0" fillId="46" borderId="73" xfId="0" applyNumberFormat="1" applyFill="1" applyBorder="1" applyAlignment="1" applyProtection="1">
      <alignment horizontal="center"/>
      <protection locked="0"/>
    </xf>
    <xf numFmtId="0" fontId="0" fillId="46" borderId="15" xfId="0" applyFont="1" applyFill="1" applyBorder="1" applyAlignment="1" applyProtection="1">
      <alignment/>
      <protection locked="0"/>
    </xf>
    <xf numFmtId="0" fontId="0" fillId="46" borderId="0" xfId="0" applyFill="1" applyBorder="1" applyAlignment="1" applyProtection="1">
      <alignment horizontal="center" vertical="center"/>
      <protection locked="0"/>
    </xf>
    <xf numFmtId="164" fontId="0" fillId="46" borderId="0" xfId="0" applyNumberFormat="1" applyFill="1" applyBorder="1" applyAlignment="1" applyProtection="1">
      <alignment horizontal="center" vertical="center"/>
      <protection locked="0"/>
    </xf>
    <xf numFmtId="164" fontId="0" fillId="46" borderId="0" xfId="0" applyNumberFormat="1" applyFont="1" applyFill="1" applyBorder="1" applyAlignment="1" applyProtection="1">
      <alignment horizontal="center" vertical="center"/>
      <protection locked="0"/>
    </xf>
    <xf numFmtId="0" fontId="0" fillId="46" borderId="12" xfId="0" applyFont="1" applyFill="1" applyBorder="1" applyAlignment="1" applyProtection="1">
      <alignment/>
      <protection locked="0"/>
    </xf>
    <xf numFmtId="0" fontId="23" fillId="46" borderId="13" xfId="0" applyFont="1" applyFill="1" applyBorder="1" applyAlignment="1" applyProtection="1">
      <alignment/>
      <protection locked="0"/>
    </xf>
    <xf numFmtId="164" fontId="23" fillId="46" borderId="13" xfId="0" applyNumberFormat="1" applyFont="1" applyFill="1" applyBorder="1" applyAlignment="1" applyProtection="1">
      <alignment/>
      <protection locked="0"/>
    </xf>
    <xf numFmtId="0" fontId="23" fillId="46" borderId="0" xfId="0" applyFont="1" applyFill="1" applyBorder="1" applyAlignment="1" applyProtection="1">
      <alignment/>
      <protection locked="0"/>
    </xf>
    <xf numFmtId="164" fontId="23" fillId="46" borderId="0" xfId="0" applyNumberFormat="1" applyFont="1" applyFill="1" applyBorder="1" applyAlignment="1" applyProtection="1">
      <alignment/>
      <protection locked="0"/>
    </xf>
    <xf numFmtId="1" fontId="0" fillId="30" borderId="33" xfId="0" applyNumberFormat="1" applyFont="1" applyFill="1" applyBorder="1" applyAlignment="1" applyProtection="1">
      <alignment horizontal="center"/>
      <protection/>
    </xf>
    <xf numFmtId="0" fontId="10" fillId="0" borderId="27" xfId="0" applyFont="1" applyBorder="1" applyAlignment="1">
      <alignment horizontal="center"/>
    </xf>
    <xf numFmtId="0" fontId="14" fillId="51" borderId="26" xfId="0" applyFont="1" applyFill="1" applyBorder="1" applyAlignment="1">
      <alignment horizontal="left" vertical="top" wrapText="1"/>
    </xf>
    <xf numFmtId="0" fontId="8" fillId="44" borderId="74" xfId="62" applyNumberFormat="1" applyFont="1" applyFill="1" applyBorder="1" applyAlignment="1" applyProtection="1">
      <alignment horizontal="center" vertical="center"/>
      <protection/>
    </xf>
    <xf numFmtId="0" fontId="0" fillId="0" borderId="75" xfId="0" applyBorder="1" applyAlignment="1">
      <alignment horizontal="center" vertical="center"/>
    </xf>
    <xf numFmtId="0" fontId="8" fillId="46" borderId="74" xfId="62" applyNumberFormat="1" applyFont="1" applyFill="1" applyBorder="1" applyAlignment="1" applyProtection="1">
      <alignment horizontal="center" vertical="center"/>
      <protection/>
    </xf>
    <xf numFmtId="0" fontId="8" fillId="49" borderId="74" xfId="62" applyNumberFormat="1" applyFont="1" applyFill="1" applyBorder="1" applyAlignment="1" applyProtection="1">
      <alignment horizontal="center" vertical="center"/>
      <protection/>
    </xf>
    <xf numFmtId="0" fontId="0" fillId="0" borderId="75" xfId="0" applyBorder="1" applyAlignment="1">
      <alignment/>
    </xf>
    <xf numFmtId="0" fontId="19" fillId="47" borderId="21" xfId="0" applyFont="1" applyFill="1" applyBorder="1" applyAlignment="1" applyProtection="1">
      <alignment horizontal="left" vertical="top" wrapText="1"/>
      <protection/>
    </xf>
    <xf numFmtId="0" fontId="17" fillId="0" borderId="74" xfId="0" applyFont="1" applyFill="1" applyBorder="1" applyAlignment="1" applyProtection="1">
      <alignment vertical="center" wrapText="1"/>
      <protection/>
    </xf>
    <xf numFmtId="0" fontId="19" fillId="48" borderId="21" xfId="0" applyFont="1" applyFill="1" applyBorder="1" applyAlignment="1" applyProtection="1">
      <alignment horizontal="left" vertical="top" wrapText="1"/>
      <protection/>
    </xf>
    <xf numFmtId="0" fontId="19" fillId="48" borderId="24" xfId="0" applyFont="1" applyFill="1" applyBorder="1" applyAlignment="1" applyProtection="1">
      <alignment horizontal="left" vertical="top" wrapText="1"/>
      <protection/>
    </xf>
    <xf numFmtId="0" fontId="17" fillId="0" borderId="74" xfId="0" applyFont="1" applyFill="1" applyBorder="1" applyAlignment="1" applyProtection="1">
      <alignment horizontal="left" vertical="center" wrapText="1"/>
      <protection/>
    </xf>
    <xf numFmtId="0" fontId="16" fillId="0" borderId="17" xfId="0" applyFont="1" applyBorder="1" applyAlignment="1" applyProtection="1">
      <alignment horizontal="center" vertical="center"/>
      <protection/>
    </xf>
    <xf numFmtId="0" fontId="17" fillId="0" borderId="74" xfId="0" applyFont="1" applyFill="1" applyBorder="1" applyAlignment="1" applyProtection="1">
      <alignment vertical="center" wrapText="1"/>
      <protection/>
    </xf>
    <xf numFmtId="0" fontId="19" fillId="33" borderId="21" xfId="0" applyFont="1" applyFill="1" applyBorder="1" applyAlignment="1" applyProtection="1">
      <alignment horizontal="left" vertical="top" wrapText="1"/>
      <protection/>
    </xf>
    <xf numFmtId="0" fontId="19" fillId="33" borderId="24" xfId="0" applyFont="1" applyFill="1" applyBorder="1" applyAlignment="1" applyProtection="1">
      <alignment horizontal="left" vertical="top" wrapText="1"/>
      <protection/>
    </xf>
    <xf numFmtId="0" fontId="21" fillId="0" borderId="76" xfId="0" applyFont="1" applyBorder="1" applyAlignment="1" applyProtection="1">
      <alignment horizontal="center" vertical="center"/>
      <protection/>
    </xf>
    <xf numFmtId="0" fontId="0" fillId="0" borderId="60" xfId="0" applyBorder="1" applyAlignment="1">
      <alignment horizontal="center" vertical="center"/>
    </xf>
    <xf numFmtId="0" fontId="14" fillId="51" borderId="29" xfId="0" applyFont="1" applyFill="1" applyBorder="1" applyAlignment="1" applyProtection="1">
      <alignment vertical="center" wrapText="1"/>
      <protection/>
    </xf>
    <xf numFmtId="0" fontId="14" fillId="51" borderId="4" xfId="0" applyFont="1" applyFill="1" applyBorder="1" applyAlignment="1" applyProtection="1">
      <alignment vertical="center" wrapText="1"/>
      <protection/>
    </xf>
    <xf numFmtId="0" fontId="8" fillId="44" borderId="17" xfId="62" applyNumberFormat="1" applyFont="1" applyFill="1" applyBorder="1" applyProtection="1">
      <alignment horizontal="center" vertical="center"/>
      <protection/>
    </xf>
    <xf numFmtId="0" fontId="8" fillId="46" borderId="17" xfId="62" applyNumberFormat="1" applyFont="1" applyFill="1" applyBorder="1" applyProtection="1">
      <alignment horizontal="center" vertical="center"/>
      <protection/>
    </xf>
    <xf numFmtId="0" fontId="3" fillId="48" borderId="30" xfId="0" applyFont="1" applyFill="1" applyBorder="1" applyAlignment="1" applyProtection="1">
      <alignment vertical="top"/>
      <protection/>
    </xf>
    <xf numFmtId="0" fontId="8" fillId="76" borderId="17" xfId="62" applyNumberFormat="1" applyFont="1" applyFill="1" applyBorder="1" applyProtection="1">
      <alignment horizontal="center" vertical="center"/>
      <protection/>
    </xf>
    <xf numFmtId="0" fontId="21" fillId="0" borderId="77" xfId="0" applyFont="1" applyBorder="1" applyAlignment="1" applyProtection="1">
      <alignment horizontal="center" vertical="center"/>
      <protection/>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21" fillId="0" borderId="22" xfId="0" applyFont="1" applyBorder="1" applyAlignment="1" applyProtection="1">
      <alignment horizontal="center" vertical="center"/>
      <protection/>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3" fillId="48" borderId="15" xfId="0" applyFont="1" applyFill="1" applyBorder="1" applyAlignment="1" applyProtection="1">
      <alignment vertical="center"/>
      <protection/>
    </xf>
    <xf numFmtId="0" fontId="14" fillId="51" borderId="25" xfId="0" applyFont="1" applyFill="1" applyBorder="1" applyAlignment="1" applyProtection="1">
      <alignment vertical="center" wrapText="1"/>
      <protection/>
    </xf>
    <xf numFmtId="0" fontId="21" fillId="0" borderId="38" xfId="0" applyFont="1" applyBorder="1" applyAlignment="1" applyProtection="1">
      <alignment horizontal="center" vertical="center"/>
      <protection/>
    </xf>
    <xf numFmtId="0" fontId="26" fillId="44" borderId="17" xfId="0" applyFont="1" applyFill="1" applyBorder="1" applyAlignment="1" applyProtection="1">
      <alignment horizontal="center" vertical="center"/>
      <protection/>
    </xf>
    <xf numFmtId="0" fontId="26" fillId="46" borderId="17" xfId="0" applyFont="1" applyFill="1" applyBorder="1" applyAlignment="1" applyProtection="1">
      <alignment horizontal="center" vertical="center"/>
      <protection/>
    </xf>
    <xf numFmtId="0" fontId="22" fillId="51" borderId="25" xfId="0" applyFont="1" applyFill="1" applyBorder="1" applyAlignment="1" applyProtection="1">
      <alignment vertical="center" wrapText="1"/>
      <protection/>
    </xf>
    <xf numFmtId="0" fontId="0" fillId="43" borderId="1" xfId="0" applyFont="1" applyFill="1" applyBorder="1" applyAlignment="1" applyProtection="1">
      <alignment horizontal="right" vertical="center"/>
      <protection/>
    </xf>
    <xf numFmtId="0" fontId="26" fillId="70" borderId="34" xfId="0" applyFont="1" applyFill="1" applyBorder="1" applyAlignment="1" applyProtection="1">
      <alignment horizontal="center" vertical="center"/>
      <protection/>
    </xf>
    <xf numFmtId="0" fontId="26" fillId="70" borderId="22" xfId="0" applyFont="1" applyFill="1" applyBorder="1" applyAlignment="1" applyProtection="1">
      <alignment horizontal="center" vertical="center"/>
      <protection/>
    </xf>
    <xf numFmtId="0" fontId="0" fillId="61" borderId="0" xfId="0" applyFont="1" applyFill="1" applyBorder="1" applyAlignment="1" applyProtection="1">
      <alignment horizontal="left"/>
      <protection/>
    </xf>
    <xf numFmtId="0" fontId="0" fillId="61" borderId="1" xfId="0" applyFont="1" applyFill="1" applyBorder="1" applyAlignment="1" applyProtection="1">
      <alignment horizontal="left"/>
      <protection/>
    </xf>
    <xf numFmtId="0" fontId="0" fillId="61" borderId="29" xfId="0" applyFill="1" applyBorder="1" applyAlignment="1" applyProtection="1">
      <alignment horizontal="left"/>
      <protection/>
    </xf>
    <xf numFmtId="0" fontId="0" fillId="0" borderId="29" xfId="0" applyBorder="1" applyAlignment="1" applyProtection="1">
      <alignment horizontal="left"/>
      <protection/>
    </xf>
    <xf numFmtId="0" fontId="21" fillId="0" borderId="20"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1" fillId="0" borderId="34" xfId="0" applyFont="1" applyBorder="1" applyAlignment="1" applyProtection="1">
      <alignment horizontal="center" vertical="center"/>
      <protection/>
    </xf>
    <xf numFmtId="0" fontId="21" fillId="0" borderId="78" xfId="0" applyFont="1" applyBorder="1" applyAlignment="1" applyProtection="1">
      <alignment horizontal="center" vertical="center"/>
      <protection/>
    </xf>
    <xf numFmtId="0" fontId="21" fillId="0" borderId="79" xfId="0" applyFont="1" applyBorder="1" applyAlignment="1" applyProtection="1">
      <alignment horizontal="center" vertical="center"/>
      <protection/>
    </xf>
    <xf numFmtId="0" fontId="21" fillId="0" borderId="80" xfId="0" applyFont="1" applyBorder="1" applyAlignment="1" applyProtection="1">
      <alignment horizontal="center" vertical="center"/>
      <protection/>
    </xf>
    <xf numFmtId="0" fontId="0" fillId="61" borderId="13" xfId="0" applyFill="1" applyBorder="1" applyAlignment="1" applyProtection="1">
      <alignment/>
      <protection/>
    </xf>
    <xf numFmtId="0" fontId="0" fillId="61" borderId="1" xfId="0" applyFill="1" applyBorder="1" applyAlignment="1" applyProtection="1">
      <alignment/>
      <protection/>
    </xf>
    <xf numFmtId="0" fontId="0" fillId="0" borderId="1" xfId="0" applyBorder="1" applyAlignment="1" applyProtection="1">
      <alignment/>
      <protection/>
    </xf>
    <xf numFmtId="0" fontId="0" fillId="61" borderId="29" xfId="0" applyFont="1" applyFill="1" applyBorder="1" applyAlignment="1" applyProtection="1">
      <alignment horizontal="left"/>
      <protection/>
    </xf>
    <xf numFmtId="0" fontId="0" fillId="61" borderId="0" xfId="0" applyFill="1" applyBorder="1" applyAlignment="1" applyProtection="1">
      <alignment horizontal="left"/>
      <protection/>
    </xf>
    <xf numFmtId="0" fontId="0" fillId="0" borderId="29" xfId="0" applyBorder="1" applyAlignment="1" applyProtection="1">
      <alignment/>
      <protection/>
    </xf>
    <xf numFmtId="0" fontId="0" fillId="61" borderId="13" xfId="0" applyFont="1" applyFill="1" applyBorder="1" applyAlignment="1" applyProtection="1">
      <alignment horizontal="left"/>
      <protection/>
    </xf>
    <xf numFmtId="0" fontId="0" fillId="43" borderId="30" xfId="0" applyFont="1" applyFill="1" applyBorder="1" applyAlignment="1" applyProtection="1">
      <alignment horizontal="right" vertical="center"/>
      <protection/>
    </xf>
    <xf numFmtId="182" fontId="0" fillId="43" borderId="29" xfId="0" applyNumberFormat="1" applyFont="1" applyFill="1" applyBorder="1" applyAlignment="1" applyProtection="1">
      <alignment horizontal="center" vertical="center"/>
      <protection/>
    </xf>
    <xf numFmtId="194" fontId="0" fillId="43" borderId="13" xfId="0" applyNumberFormat="1" applyFont="1" applyFill="1" applyBorder="1" applyAlignment="1" applyProtection="1">
      <alignment horizontal="center" vertical="center"/>
      <protection/>
    </xf>
    <xf numFmtId="194" fontId="0" fillId="43" borderId="0" xfId="0" applyNumberFormat="1" applyFont="1" applyFill="1" applyBorder="1" applyAlignment="1" applyProtection="1">
      <alignment horizontal="center" vertical="center"/>
      <protection/>
    </xf>
    <xf numFmtId="194" fontId="0" fillId="43" borderId="1" xfId="0" applyNumberFormat="1" applyFont="1" applyFill="1" applyBorder="1" applyAlignment="1" applyProtection="1">
      <alignment horizontal="center" vertical="center"/>
      <protection/>
    </xf>
    <xf numFmtId="0" fontId="32" fillId="40" borderId="4" xfId="0" applyFont="1" applyFill="1" applyBorder="1" applyAlignment="1" applyProtection="1">
      <alignment horizontal="center" vertical="center"/>
      <protection/>
    </xf>
    <xf numFmtId="0" fontId="3" fillId="43" borderId="30" xfId="0" applyFont="1" applyFill="1" applyBorder="1" applyAlignment="1" applyProtection="1">
      <alignment horizontal="right" vertical="center"/>
      <protection/>
    </xf>
    <xf numFmtId="181" fontId="3" fillId="43" borderId="29" xfId="0" applyNumberFormat="1" applyFont="1" applyFill="1" applyBorder="1" applyAlignment="1" applyProtection="1">
      <alignment horizontal="center" vertical="center"/>
      <protection/>
    </xf>
    <xf numFmtId="164" fontId="3" fillId="43" borderId="29" xfId="0" applyNumberFormat="1" applyFont="1" applyFill="1" applyBorder="1" applyAlignment="1" applyProtection="1">
      <alignment horizontal="center" vertical="center"/>
      <protection/>
    </xf>
    <xf numFmtId="169" fontId="0" fillId="43" borderId="29" xfId="0" applyNumberFormat="1" applyFont="1" applyFill="1" applyBorder="1" applyAlignment="1" applyProtection="1">
      <alignment horizontal="center" vertical="center"/>
      <protection/>
    </xf>
    <xf numFmtId="166" fontId="0" fillId="43" borderId="13" xfId="0" applyNumberFormat="1" applyFont="1" applyFill="1" applyBorder="1" applyAlignment="1" applyProtection="1">
      <alignment horizontal="center" vertical="center"/>
      <protection/>
    </xf>
    <xf numFmtId="166" fontId="0" fillId="43" borderId="0" xfId="0" applyNumberFormat="1" applyFont="1" applyFill="1" applyBorder="1" applyAlignment="1" applyProtection="1">
      <alignment horizontal="center" vertical="center"/>
      <protection/>
    </xf>
    <xf numFmtId="166" fontId="0" fillId="43" borderId="1" xfId="0" applyNumberFormat="1" applyFont="1" applyFill="1" applyBorder="1" applyAlignment="1" applyProtection="1">
      <alignment horizontal="center" vertical="center"/>
      <protection/>
    </xf>
    <xf numFmtId="164" fontId="0" fillId="43" borderId="29" xfId="0" applyNumberFormat="1" applyFont="1" applyFill="1" applyBorder="1" applyAlignment="1" applyProtection="1">
      <alignment horizontal="center" vertical="center"/>
      <protection/>
    </xf>
    <xf numFmtId="164" fontId="0" fillId="43" borderId="29" xfId="0" applyNumberFormat="1" applyFill="1" applyBorder="1" applyAlignment="1" applyProtection="1">
      <alignment horizontal="center" vertical="center"/>
      <protection/>
    </xf>
    <xf numFmtId="10" fontId="0" fillId="43" borderId="29" xfId="71" applyNumberFormat="1" applyFont="1" applyFill="1" applyBorder="1" applyAlignment="1" applyProtection="1">
      <alignment horizontal="center" vertical="center"/>
      <protection/>
    </xf>
    <xf numFmtId="10" fontId="0" fillId="43" borderId="29" xfId="0" applyNumberFormat="1" applyFill="1" applyBorder="1" applyAlignment="1" applyProtection="1">
      <alignment horizontal="center" vertical="center"/>
      <protection/>
    </xf>
    <xf numFmtId="0" fontId="0" fillId="0" borderId="29" xfId="0" applyBorder="1" applyAlignment="1">
      <alignment vertical="top"/>
    </xf>
    <xf numFmtId="9" fontId="0" fillId="43" borderId="29" xfId="71" applyFont="1" applyFill="1" applyBorder="1" applyAlignment="1" applyProtection="1">
      <alignment horizontal="center" vertical="center"/>
      <protection/>
    </xf>
    <xf numFmtId="9" fontId="0" fillId="43" borderId="29" xfId="0" applyNumberFormat="1" applyFill="1" applyBorder="1" applyAlignment="1" applyProtection="1">
      <alignment horizontal="center" vertical="center"/>
      <protection/>
    </xf>
    <xf numFmtId="0" fontId="3" fillId="43" borderId="15" xfId="0" applyFont="1" applyFill="1" applyBorder="1" applyAlignment="1" applyProtection="1">
      <alignment/>
      <protection/>
    </xf>
    <xf numFmtId="0" fontId="36" fillId="0" borderId="25" xfId="0" applyFont="1" applyFill="1" applyBorder="1" applyAlignment="1" applyProtection="1">
      <alignment horizontal="center" vertical="center"/>
      <protection/>
    </xf>
    <xf numFmtId="0" fontId="4" fillId="43" borderId="14" xfId="0" applyFont="1" applyFill="1" applyBorder="1" applyAlignment="1" applyProtection="1">
      <alignment horizontal="left"/>
      <protection/>
    </xf>
    <xf numFmtId="0" fontId="3" fillId="43" borderId="18" xfId="0" applyFont="1" applyFill="1" applyBorder="1" applyAlignment="1" applyProtection="1">
      <alignment horizontal="left"/>
      <protection/>
    </xf>
    <xf numFmtId="0" fontId="7" fillId="45" borderId="19" xfId="0" applyFont="1" applyFill="1" applyBorder="1" applyAlignment="1" applyProtection="1">
      <alignment horizontal="left"/>
      <protection/>
    </xf>
    <xf numFmtId="0" fontId="4" fillId="43" borderId="14"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164" fontId="3"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0" fontId="33" fillId="0" borderId="76" xfId="0" applyFont="1" applyFill="1" applyBorder="1" applyAlignment="1" applyProtection="1">
      <alignment horizontal="center" vertical="center"/>
      <protection/>
    </xf>
    <xf numFmtId="0" fontId="33" fillId="0" borderId="64" xfId="0" applyFont="1" applyFill="1" applyBorder="1" applyAlignment="1" applyProtection="1">
      <alignment horizontal="center" vertical="center"/>
      <protection/>
    </xf>
    <xf numFmtId="9" fontId="0" fillId="43" borderId="29" xfId="0" applyNumberFormat="1" applyFont="1" applyFill="1" applyBorder="1" applyAlignment="1" applyProtection="1">
      <alignment horizontal="center" vertical="center"/>
      <protection/>
    </xf>
    <xf numFmtId="0" fontId="0" fillId="43" borderId="12" xfId="0" applyFont="1" applyFill="1" applyBorder="1" applyAlignment="1" applyProtection="1">
      <alignment horizontal="right" vertical="center"/>
      <protection/>
    </xf>
    <xf numFmtId="10" fontId="0" fillId="43" borderId="13" xfId="71" applyNumberFormat="1" applyFont="1" applyFill="1" applyBorder="1" applyAlignment="1" applyProtection="1">
      <alignment horizontal="center" vertical="center"/>
      <protection/>
    </xf>
    <xf numFmtId="10" fontId="0" fillId="43" borderId="13" xfId="0" applyNumberFormat="1" applyFill="1" applyBorder="1" applyAlignment="1" applyProtection="1">
      <alignment horizontal="center" vertical="center"/>
      <protection/>
    </xf>
    <xf numFmtId="0" fontId="32" fillId="40" borderId="14" xfId="0" applyFont="1" applyFill="1" applyBorder="1" applyAlignment="1" applyProtection="1">
      <alignment horizontal="center" vertical="center"/>
      <protection/>
    </xf>
    <xf numFmtId="2" fontId="0" fillId="43" borderId="29" xfId="0" applyNumberFormat="1" applyFont="1" applyFill="1" applyBorder="1" applyAlignment="1" applyProtection="1">
      <alignment horizontal="center" vertical="center"/>
      <protection/>
    </xf>
    <xf numFmtId="2" fontId="0" fillId="43" borderId="29" xfId="0" applyNumberFormat="1" applyFill="1" applyBorder="1" applyAlignment="1" applyProtection="1">
      <alignment horizontal="center" vertical="center"/>
      <protection/>
    </xf>
    <xf numFmtId="0" fontId="0" fillId="43" borderId="15" xfId="0" applyFont="1" applyFill="1" applyBorder="1" applyAlignment="1">
      <alignment/>
    </xf>
    <xf numFmtId="165" fontId="0" fillId="43" borderId="0" xfId="0" applyNumberFormat="1" applyFill="1" applyBorder="1" applyAlignment="1">
      <alignment horizontal="center"/>
    </xf>
    <xf numFmtId="165" fontId="3" fillId="43" borderId="0" xfId="0" applyNumberFormat="1" applyFont="1" applyFill="1" applyBorder="1" applyAlignment="1">
      <alignment horizontal="center"/>
    </xf>
    <xf numFmtId="0" fontId="0" fillId="43" borderId="12" xfId="0" applyFont="1" applyFill="1" applyBorder="1" applyAlignment="1">
      <alignment/>
    </xf>
    <xf numFmtId="166" fontId="0" fillId="43" borderId="13" xfId="0" applyNumberFormat="1" applyFont="1" applyFill="1" applyBorder="1" applyAlignment="1">
      <alignment horizontal="center"/>
    </xf>
    <xf numFmtId="0" fontId="0" fillId="43" borderId="1" xfId="0" applyFill="1" applyBorder="1" applyAlignment="1">
      <alignment horizontal="center"/>
    </xf>
    <xf numFmtId="10" fontId="0" fillId="43" borderId="1" xfId="0" applyNumberFormat="1" applyFill="1" applyBorder="1" applyAlignment="1">
      <alignment horizontal="center"/>
    </xf>
    <xf numFmtId="0" fontId="46" fillId="48" borderId="29" xfId="0" applyFont="1" applyFill="1" applyBorder="1" applyAlignment="1">
      <alignment horizontal="center" vertical="center"/>
    </xf>
    <xf numFmtId="0" fontId="46" fillId="48" borderId="4" xfId="0" applyFont="1" applyFill="1" applyBorder="1" applyAlignment="1">
      <alignment horizontal="center" vertical="center"/>
    </xf>
    <xf numFmtId="0" fontId="3" fillId="0" borderId="30" xfId="0" applyFont="1" applyFill="1" applyBorder="1" applyAlignment="1">
      <alignment/>
    </xf>
    <xf numFmtId="0" fontId="0" fillId="0" borderId="29" xfId="0" applyFont="1" applyFill="1" applyBorder="1" applyAlignment="1">
      <alignment horizontal="center"/>
    </xf>
    <xf numFmtId="0" fontId="0" fillId="0" borderId="4" xfId="0" applyFill="1" applyBorder="1" applyAlignment="1">
      <alignment/>
    </xf>
    <xf numFmtId="0" fontId="0" fillId="43" borderId="0" xfId="0" applyFill="1" applyBorder="1" applyAlignment="1">
      <alignment horizontal="center"/>
    </xf>
    <xf numFmtId="10" fontId="0" fillId="43" borderId="0" xfId="0" applyNumberFormat="1" applyFill="1" applyBorder="1" applyAlignment="1">
      <alignment horizontal="center"/>
    </xf>
    <xf numFmtId="0" fontId="0" fillId="43" borderId="0" xfId="0" applyFont="1" applyFill="1" applyBorder="1" applyAlignment="1">
      <alignment horizontal="center"/>
    </xf>
    <xf numFmtId="0" fontId="0" fillId="43" borderId="1" xfId="0" applyFont="1" applyFill="1" applyBorder="1" applyAlignment="1">
      <alignment horizontal="center"/>
    </xf>
    <xf numFmtId="0" fontId="0" fillId="43" borderId="13" xfId="0" applyFont="1" applyFill="1" applyBorder="1" applyAlignment="1">
      <alignment horizontal="center"/>
    </xf>
    <xf numFmtId="10" fontId="0" fillId="43" borderId="13" xfId="0" applyNumberFormat="1" applyFill="1" applyBorder="1" applyAlignment="1">
      <alignment horizontal="center"/>
    </xf>
    <xf numFmtId="1" fontId="0" fillId="43" borderId="0" xfId="0" applyNumberFormat="1" applyFont="1" applyFill="1" applyBorder="1" applyAlignment="1">
      <alignment horizontal="center"/>
    </xf>
    <xf numFmtId="0" fontId="0" fillId="43" borderId="13" xfId="0" applyFill="1" applyBorder="1" applyAlignment="1">
      <alignment horizontal="center"/>
    </xf>
    <xf numFmtId="10" fontId="0" fillId="43" borderId="13" xfId="0" applyNumberFormat="1" applyFont="1" applyFill="1" applyBorder="1" applyAlignment="1">
      <alignment horizontal="center"/>
    </xf>
    <xf numFmtId="0" fontId="45" fillId="48" borderId="29" xfId="0" applyFont="1" applyFill="1" applyBorder="1" applyAlignment="1">
      <alignment horizontal="center" vertical="center"/>
    </xf>
    <xf numFmtId="0" fontId="42" fillId="0" borderId="76" xfId="0" applyFont="1" applyBorder="1" applyAlignment="1">
      <alignment horizontal="center" vertical="center"/>
    </xf>
    <xf numFmtId="0" fontId="42" fillId="0" borderId="64" xfId="0" applyFont="1" applyBorder="1" applyAlignment="1">
      <alignment horizontal="center" vertical="center"/>
    </xf>
    <xf numFmtId="0" fontId="7" fillId="45" borderId="19" xfId="0" applyFont="1" applyFill="1" applyBorder="1" applyAlignment="1">
      <alignment horizontal="left"/>
    </xf>
    <xf numFmtId="2" fontId="0" fillId="46" borderId="58" xfId="0" applyNumberFormat="1"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2" fontId="0" fillId="46" borderId="58" xfId="0" applyNumberFormat="1" applyFont="1" applyFill="1" applyBorder="1" applyAlignment="1" applyProtection="1" quotePrefix="1">
      <alignment horizontal="left" vertical="center"/>
      <protection locked="0"/>
    </xf>
    <xf numFmtId="0" fontId="0" fillId="0" borderId="0" xfId="0" applyBorder="1" applyAlignment="1">
      <alignment horizontal="left" vertical="center"/>
    </xf>
    <xf numFmtId="0" fontId="0" fillId="0" borderId="67" xfId="0" applyBorder="1" applyAlignment="1" applyProtection="1">
      <alignment/>
      <protection locked="0"/>
    </xf>
    <xf numFmtId="0" fontId="0" fillId="0" borderId="81" xfId="0" applyBorder="1" applyAlignment="1" applyProtection="1">
      <alignment/>
      <protection locked="0"/>
    </xf>
    <xf numFmtId="0" fontId="0" fillId="43" borderId="18" xfId="0" applyFont="1" applyFill="1" applyBorder="1" applyAlignment="1" applyProtection="1">
      <alignment/>
      <protection/>
    </xf>
    <xf numFmtId="0" fontId="0" fillId="43" borderId="12" xfId="0" applyFont="1" applyFill="1" applyBorder="1" applyAlignment="1" applyProtection="1">
      <alignment/>
      <protection/>
    </xf>
    <xf numFmtId="0" fontId="55" fillId="48" borderId="30" xfId="0" applyFont="1" applyFill="1" applyBorder="1" applyAlignment="1" applyProtection="1">
      <alignment horizontal="center" vertical="center"/>
      <protection/>
    </xf>
    <xf numFmtId="0" fontId="0" fillId="43" borderId="15" xfId="0" applyFont="1" applyFill="1" applyBorder="1" applyAlignment="1" applyProtection="1">
      <alignment/>
      <protection/>
    </xf>
    <xf numFmtId="0" fontId="8" fillId="43" borderId="0" xfId="62" applyNumberFormat="1" applyFont="1" applyFill="1" applyBorder="1" applyProtection="1">
      <alignment horizontal="center" vertical="center"/>
      <protection/>
    </xf>
    <xf numFmtId="0" fontId="8" fillId="48" borderId="17" xfId="62" applyNumberFormat="1" applyFont="1" applyFill="1" applyBorder="1" applyProtection="1">
      <alignment horizontal="center" vertical="center"/>
      <protection/>
    </xf>
    <xf numFmtId="0" fontId="25" fillId="48" borderId="12" xfId="0" applyFont="1" applyFill="1" applyBorder="1" applyAlignment="1" applyProtection="1">
      <alignment horizontal="center" vertical="center"/>
      <protection/>
    </xf>
    <xf numFmtId="0" fontId="0" fillId="0" borderId="13" xfId="0" applyBorder="1" applyAlignment="1">
      <alignment horizontal="center" vertical="center"/>
    </xf>
    <xf numFmtId="2" fontId="0" fillId="46" borderId="82" xfId="0" applyNumberFormat="1" applyFont="1" applyFill="1" applyBorder="1" applyAlignment="1" applyProtection="1">
      <alignment horizontal="left" vertical="center"/>
      <protection locked="0"/>
    </xf>
    <xf numFmtId="0" fontId="0" fillId="0" borderId="72" xfId="0" applyBorder="1" applyAlignment="1">
      <alignment horizontal="left" vertical="center"/>
    </xf>
    <xf numFmtId="0" fontId="0" fillId="43" borderId="25" xfId="0" applyFont="1" applyFill="1" applyBorder="1" applyAlignment="1" applyProtection="1">
      <alignment/>
      <protection/>
    </xf>
    <xf numFmtId="0" fontId="50" fillId="48" borderId="30" xfId="0" applyFont="1" applyFill="1" applyBorder="1" applyAlignment="1" applyProtection="1">
      <alignment horizontal="center" vertical="center"/>
      <protection/>
    </xf>
    <xf numFmtId="0" fontId="0" fillId="43" borderId="12" xfId="0" applyFont="1" applyFill="1" applyBorder="1" applyAlignment="1" applyProtection="1">
      <alignment/>
      <protection/>
    </xf>
    <xf numFmtId="0" fontId="0" fillId="43" borderId="15" xfId="0" applyFont="1" applyFill="1" applyBorder="1" applyAlignment="1" applyProtection="1">
      <alignment/>
      <protection/>
    </xf>
    <xf numFmtId="0" fontId="48" fillId="0" borderId="74" xfId="0" applyFont="1" applyFill="1" applyBorder="1" applyAlignment="1" applyProtection="1">
      <alignment horizontal="center" vertical="center"/>
      <protection/>
    </xf>
    <xf numFmtId="0" fontId="49" fillId="0" borderId="75" xfId="0" applyFont="1" applyFill="1" applyBorder="1" applyAlignment="1" applyProtection="1">
      <alignment horizontal="center" vertical="center"/>
      <protection/>
    </xf>
    <xf numFmtId="0" fontId="25" fillId="48" borderId="29" xfId="0" applyFont="1" applyFill="1" applyBorder="1" applyAlignment="1" applyProtection="1">
      <alignment horizontal="center" vertical="center"/>
      <protection/>
    </xf>
    <xf numFmtId="0" fontId="26" fillId="76" borderId="17" xfId="62" applyFont="1" applyFill="1" applyBorder="1" applyProtection="1">
      <alignment horizontal="center" vertical="center"/>
      <protection/>
    </xf>
    <xf numFmtId="0" fontId="0" fillId="58" borderId="25" xfId="0" applyFont="1" applyFill="1" applyBorder="1" applyAlignment="1">
      <alignment/>
    </xf>
    <xf numFmtId="0" fontId="3" fillId="47" borderId="33" xfId="0" applyFont="1" applyFill="1" applyBorder="1" applyAlignment="1">
      <alignment horizontal="center"/>
    </xf>
    <xf numFmtId="0" fontId="3" fillId="43" borderId="25" xfId="0" applyFont="1" applyFill="1" applyBorder="1" applyAlignment="1">
      <alignment horizontal="left" wrapText="1"/>
    </xf>
    <xf numFmtId="0" fontId="0" fillId="0" borderId="25" xfId="0" applyFont="1" applyFill="1" applyBorder="1" applyAlignment="1">
      <alignment/>
    </xf>
    <xf numFmtId="0" fontId="3" fillId="48" borderId="16" xfId="0" applyFont="1" applyFill="1" applyBorder="1" applyAlignment="1">
      <alignment horizontal="left" vertical="top" wrapText="1"/>
    </xf>
    <xf numFmtId="0" fontId="3" fillId="48" borderId="19" xfId="0" applyFont="1" applyFill="1" applyBorder="1" applyAlignment="1">
      <alignment horizontal="left" vertical="top" wrapText="1"/>
    </xf>
    <xf numFmtId="0" fontId="65" fillId="48" borderId="25" xfId="0" applyFont="1" applyFill="1" applyBorder="1" applyAlignment="1" applyProtection="1">
      <alignment horizontal="center"/>
      <protection/>
    </xf>
    <xf numFmtId="0" fontId="3" fillId="48" borderId="33" xfId="0" applyFont="1" applyFill="1" applyBorder="1" applyAlignment="1">
      <alignment horizontal="center"/>
    </xf>
    <xf numFmtId="0" fontId="3" fillId="46" borderId="33" xfId="0" applyFont="1" applyFill="1" applyBorder="1" applyAlignment="1">
      <alignment horizontal="center"/>
    </xf>
    <xf numFmtId="0" fontId="61" fillId="0" borderId="28" xfId="0" applyFont="1" applyFill="1" applyBorder="1" applyAlignment="1">
      <alignment horizontal="left" vertical="center" wrapText="1"/>
    </xf>
    <xf numFmtId="0" fontId="58" fillId="0" borderId="17" xfId="0" applyFont="1" applyBorder="1" applyAlignment="1">
      <alignment horizontal="center"/>
    </xf>
    <xf numFmtId="0" fontId="0" fillId="43" borderId="1" xfId="0" applyFill="1" applyBorder="1" applyAlignment="1">
      <alignment/>
    </xf>
    <xf numFmtId="0" fontId="59" fillId="0" borderId="74" xfId="0" applyFont="1" applyFill="1" applyBorder="1" applyAlignment="1">
      <alignment horizontal="left" vertical="center"/>
    </xf>
    <xf numFmtId="0" fontId="20" fillId="48" borderId="21" xfId="0" applyFont="1" applyFill="1" applyBorder="1" applyAlignment="1">
      <alignment wrapText="1"/>
    </xf>
    <xf numFmtId="0" fontId="0" fillId="48" borderId="18" xfId="0" applyFill="1" applyBorder="1" applyAlignment="1" applyProtection="1">
      <alignment/>
      <protection/>
    </xf>
    <xf numFmtId="0" fontId="0" fillId="0" borderId="49" xfId="0" applyFont="1" applyFill="1" applyBorder="1" applyAlignment="1" applyProtection="1">
      <alignment/>
      <protection/>
    </xf>
    <xf numFmtId="0" fontId="0" fillId="0" borderId="70" xfId="0" applyFont="1" applyFill="1" applyBorder="1" applyAlignment="1" applyProtection="1">
      <alignment/>
      <protection/>
    </xf>
    <xf numFmtId="0" fontId="0" fillId="0" borderId="36" xfId="0" applyFont="1" applyFill="1" applyBorder="1" applyAlignment="1" applyProtection="1">
      <alignment/>
      <protection/>
    </xf>
    <xf numFmtId="0" fontId="3" fillId="48" borderId="49" xfId="0" applyFont="1" applyFill="1" applyBorder="1" applyAlignment="1" applyProtection="1">
      <alignment/>
      <protection/>
    </xf>
    <xf numFmtId="0" fontId="3" fillId="50" borderId="44" xfId="0" applyFont="1" applyFill="1" applyBorder="1" applyAlignment="1" applyProtection="1">
      <alignment horizontal="center"/>
      <protection/>
    </xf>
    <xf numFmtId="0" fontId="3" fillId="48" borderId="25" xfId="0" applyFont="1" applyFill="1" applyBorder="1" applyAlignment="1" applyProtection="1">
      <alignment/>
      <protection/>
    </xf>
    <xf numFmtId="0" fontId="0" fillId="0" borderId="25" xfId="0" applyFont="1" applyBorder="1" applyAlignment="1" applyProtection="1">
      <alignment/>
      <protection/>
    </xf>
    <xf numFmtId="0" fontId="3" fillId="0" borderId="27" xfId="0" applyFont="1" applyBorder="1" applyAlignment="1" applyProtection="1">
      <alignment/>
      <protection/>
    </xf>
    <xf numFmtId="9" fontId="0" fillId="60" borderId="25" xfId="0" applyNumberFormat="1" applyFont="1" applyFill="1" applyBorder="1" applyAlignment="1" applyProtection="1">
      <alignment horizontal="left"/>
      <protection/>
    </xf>
    <xf numFmtId="0" fontId="0" fillId="0" borderId="0" xfId="0" applyFont="1" applyBorder="1" applyAlignment="1" applyProtection="1">
      <alignment horizontal="left"/>
      <protection/>
    </xf>
    <xf numFmtId="0" fontId="69" fillId="48" borderId="29" xfId="0" applyFont="1" applyFill="1" applyBorder="1" applyAlignment="1" applyProtection="1">
      <alignment vertical="center"/>
      <protection/>
    </xf>
    <xf numFmtId="1" fontId="3" fillId="43" borderId="25" xfId="0" applyNumberFormat="1" applyFont="1" applyFill="1" applyBorder="1" applyAlignment="1" applyProtection="1">
      <alignment horizontal="left" vertical="center"/>
      <protection/>
    </xf>
    <xf numFmtId="0" fontId="3" fillId="55" borderId="27" xfId="0" applyFont="1" applyFill="1" applyBorder="1" applyAlignment="1" applyProtection="1">
      <alignment/>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lue dr" xfId="40"/>
    <cellStyle name="Blue lt" xfId="41"/>
    <cellStyle name="Brown" xfId="42"/>
    <cellStyle name="Brown2" xfId="43"/>
    <cellStyle name="Calculation" xfId="44"/>
    <cellStyle name="Check Cell" xfId="45"/>
    <cellStyle name="Comma" xfId="46"/>
    <cellStyle name="Comma [0]" xfId="47"/>
    <cellStyle name="Currency" xfId="48"/>
    <cellStyle name="Currency [0]" xfId="49"/>
    <cellStyle name="Excel_CondFormat_3_12_1 1" xfId="50"/>
    <cellStyle name="Explanatory Text" xfId="51"/>
    <cellStyle name="Followed Hyperlink" xfId="52"/>
    <cellStyle name="Good" xfId="53"/>
    <cellStyle name="Green" xfId="54"/>
    <cellStyle name="Green 3" xfId="55"/>
    <cellStyle name="Green2" xfId="56"/>
    <cellStyle name="Grey 10" xfId="57"/>
    <cellStyle name="Heading 1" xfId="58"/>
    <cellStyle name="Heading 2" xfId="59"/>
    <cellStyle name="Heading 3" xfId="60"/>
    <cellStyle name="Heading 4" xfId="61"/>
    <cellStyle name="Hyperlink" xfId="62"/>
    <cellStyle name="Input" xfId="63"/>
    <cellStyle name="Light Yellow" xfId="64"/>
    <cellStyle name="Linked Cell" xfId="65"/>
    <cellStyle name="Neutral" xfId="66"/>
    <cellStyle name="Normal 2" xfId="67"/>
    <cellStyle name="Note" xfId="68"/>
    <cellStyle name="Output" xfId="69"/>
    <cellStyle name="Percent" xfId="70"/>
    <cellStyle name="Percent 4" xfId="71"/>
    <cellStyle name="Red" xfId="72"/>
    <cellStyle name="Title" xfId="73"/>
    <cellStyle name="Total" xfId="74"/>
    <cellStyle name="Warning Text" xfId="75"/>
    <cellStyle name="Yellow" xfId="76"/>
    <cellStyle name="Yellow 5" xfId="77"/>
    <cellStyle name="Yellow1" xfId="78"/>
    <cellStyle name="Yellow2" xfId="79"/>
  </cellStyles>
  <dxfs count="152">
    <dxf>
      <fill>
        <patternFill patternType="solid">
          <fgColor indexed="44"/>
          <bgColor indexed="24"/>
        </patternFill>
      </fill>
      <border>
        <left>
          <color indexed="63"/>
        </left>
        <right style="thin"/>
        <top>
          <color indexed="63"/>
        </top>
        <bottom>
          <color indexed="63"/>
        </bottom>
      </border>
    </dxf>
    <dxf>
      <fill>
        <patternFill patternType="solid">
          <fgColor indexed="44"/>
          <bgColor indexed="24"/>
        </patternFill>
      </fill>
      <border>
        <left/>
        <right/>
        <top/>
        <bottom/>
      </border>
    </dxf>
    <dxf>
      <fill>
        <patternFill patternType="solid">
          <fgColor indexed="44"/>
          <bgColor indexed="24"/>
        </patternFill>
      </fill>
      <border>
        <left>
          <color indexed="63"/>
        </left>
        <right style="thin"/>
        <top>
          <color indexed="63"/>
        </top>
        <bottom>
          <color indexed="63"/>
        </bottom>
      </border>
    </dxf>
    <dxf>
      <fill>
        <patternFill patternType="solid">
          <fgColor indexed="44"/>
          <bgColor indexed="24"/>
        </patternFill>
      </fill>
      <border>
        <left/>
        <right/>
        <top/>
        <bottom/>
      </border>
    </dxf>
    <dxf>
      <fill>
        <patternFill patternType="solid">
          <fgColor indexed="44"/>
          <bgColor indexed="24"/>
        </patternFill>
      </fill>
      <border>
        <left>
          <color indexed="63"/>
        </left>
        <right style="thin"/>
        <top>
          <color indexed="63"/>
        </top>
        <bottom>
          <color indexed="63"/>
        </bottom>
      </border>
    </dxf>
    <dxf>
      <fill>
        <patternFill patternType="solid">
          <fgColor indexed="44"/>
          <bgColor indexed="24"/>
        </patternFill>
      </fill>
      <border>
        <left style="thin"/>
        <right>
          <color indexed="63"/>
        </right>
        <top style="thin"/>
        <bottom>
          <color indexed="63"/>
        </bottom>
      </border>
    </dxf>
    <dxf>
      <fill>
        <patternFill patternType="solid">
          <fgColor indexed="44"/>
          <bgColor indexed="24"/>
        </patternFill>
      </fill>
      <border>
        <left style="thin"/>
        <right>
          <color indexed="63"/>
        </right>
        <top>
          <color indexed="63"/>
        </top>
        <bottom>
          <color indexed="63"/>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style="thin"/>
        <bottom>
          <color indexed="63"/>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24"/>
          <bgColor indexed="44"/>
        </patternFill>
      </fill>
    </dxf>
    <dxf>
      <font>
        <b/>
        <i val="0"/>
        <u val="none"/>
        <strike val="0"/>
        <sz val="10"/>
        <color indexed="8"/>
      </font>
      <fill>
        <patternFill patternType="solid">
          <fgColor indexed="9"/>
          <bgColor indexed="26"/>
        </patternFill>
      </fill>
      <border>
        <left>
          <color indexed="63"/>
        </left>
        <right>
          <color indexed="63"/>
        </right>
        <top>
          <color indexed="63"/>
        </top>
        <bottom style="thin">
          <color indexed="8"/>
        </bottom>
      </border>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val="0"/>
        <sz val="11"/>
      </font>
      <fill>
        <patternFill patternType="solid">
          <fgColor indexed="55"/>
          <bgColor indexed="23"/>
        </patternFill>
      </fill>
    </dxf>
    <dxf>
      <font>
        <b val="0"/>
        <sz val="11"/>
      </font>
      <fill>
        <patternFill patternType="solid">
          <fgColor indexed="55"/>
          <bgColor indexed="23"/>
        </patternFill>
      </fill>
    </dxf>
    <dxf>
      <font>
        <b val="0"/>
        <sz val="11"/>
      </font>
      <fill>
        <patternFill patternType="solid">
          <fgColor indexed="51"/>
          <bgColor rgb="FF99CC00"/>
        </patternFill>
      </fill>
    </dxf>
    <dxf>
      <font>
        <b val="0"/>
        <sz val="11"/>
      </font>
      <fill>
        <patternFill patternType="solid">
          <fgColor indexed="55"/>
          <bgColor indexed="23"/>
        </patternFill>
      </fill>
    </dxf>
    <dxf>
      <font>
        <b val="0"/>
        <sz val="11"/>
      </font>
      <fill>
        <patternFill patternType="solid">
          <fgColor indexed="51"/>
          <bgColor rgb="FF99CC00"/>
        </patternFill>
      </fill>
    </dxf>
    <dxf>
      <font>
        <b val="0"/>
        <sz val="11"/>
      </font>
      <fill>
        <patternFill patternType="solid">
          <fgColor indexed="53"/>
          <bgColor indexed="25"/>
        </patternFill>
      </fill>
    </dxf>
    <dxf>
      <font>
        <b val="0"/>
        <sz val="11"/>
      </font>
      <fill>
        <patternFill patternType="solid">
          <fgColor indexed="55"/>
          <bgColor indexed="23"/>
        </patternFill>
      </fill>
    </dxf>
    <dxf>
      <font>
        <b val="0"/>
        <sz val="11"/>
      </font>
      <fill>
        <patternFill patternType="solid">
          <fgColor indexed="55"/>
          <bgColor indexed="23"/>
        </patternFill>
      </fill>
    </dxf>
    <dxf>
      <font>
        <b val="0"/>
        <sz val="11"/>
      </font>
      <fill>
        <patternFill patternType="solid">
          <fgColor indexed="51"/>
          <bgColor rgb="FF99CC00"/>
        </patternFill>
      </fill>
    </dxf>
    <dxf>
      <font>
        <b val="0"/>
        <sz val="11"/>
      </font>
      <fill>
        <patternFill patternType="solid">
          <fgColor indexed="55"/>
          <bgColor indexed="23"/>
        </patternFill>
      </fill>
    </dxf>
    <dxf>
      <font>
        <b val="0"/>
        <sz val="11"/>
      </font>
      <fill>
        <patternFill patternType="solid">
          <fgColor indexed="51"/>
          <bgColor rgb="FF99CC00"/>
        </patternFill>
      </fill>
    </dxf>
    <dxf>
      <font>
        <b val="0"/>
        <sz val="11"/>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val="0"/>
        <sz val="11"/>
      </font>
      <fill>
        <patternFill patternType="solid">
          <fgColor indexed="55"/>
          <bgColor indexed="23"/>
        </patternFill>
      </fill>
    </dxf>
    <dxf>
      <font>
        <b val="0"/>
        <sz val="11"/>
      </font>
      <fill>
        <patternFill patternType="solid">
          <fgColor indexed="55"/>
          <bgColor indexed="23"/>
        </patternFill>
      </fill>
    </dxf>
    <dxf>
      <font>
        <b val="0"/>
        <sz val="11"/>
      </font>
      <fill>
        <patternFill patternType="solid">
          <fgColor indexed="51"/>
          <bgColor rgb="FF99CC00"/>
        </patternFill>
      </fill>
    </dxf>
    <dxf>
      <font>
        <b val="0"/>
        <sz val="11"/>
      </font>
      <fill>
        <patternFill patternType="solid">
          <fgColor indexed="55"/>
          <bgColor indexed="23"/>
        </patternFill>
      </fill>
    </dxf>
    <dxf>
      <font>
        <b val="0"/>
        <sz val="11"/>
      </font>
      <fill>
        <patternFill patternType="solid">
          <fgColor indexed="51"/>
          <bgColor rgb="FF99CC00"/>
        </patternFill>
      </fill>
    </dxf>
    <dxf>
      <font>
        <b val="0"/>
        <sz val="11"/>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indexed="5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indexed="5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indexed="5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indexed="5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val="0"/>
        <i val="0"/>
        <u val="none"/>
        <strike val="0"/>
        <sz val="11"/>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indexed="5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5"/>
          <bgColor indexed="23"/>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3"/>
          <bgColor indexed="25"/>
        </patternFill>
      </fill>
    </dxf>
    <dxf>
      <font>
        <b val="0"/>
        <sz val="11"/>
      </font>
      <fill>
        <patternFill patternType="solid">
          <fgColor indexed="55"/>
          <bgColor indexed="23"/>
        </patternFill>
      </fill>
    </dxf>
    <dxf>
      <font>
        <b val="0"/>
        <sz val="11"/>
      </font>
      <fill>
        <patternFill patternType="solid">
          <fgColor indexed="55"/>
          <bgColor indexed="23"/>
        </patternFill>
      </fill>
    </dxf>
    <dxf>
      <font>
        <b val="0"/>
        <sz val="11"/>
      </font>
      <fill>
        <patternFill patternType="solid">
          <fgColor indexed="51"/>
          <bgColor rgb="FF99CC00"/>
        </patternFill>
      </fill>
    </dxf>
    <dxf>
      <font>
        <b val="0"/>
        <sz val="11"/>
      </font>
      <fill>
        <patternFill patternType="solid">
          <fgColor indexed="55"/>
          <bgColor indexed="23"/>
        </patternFill>
      </fill>
    </dxf>
    <dxf>
      <font>
        <b val="0"/>
        <sz val="11"/>
      </font>
      <fill>
        <patternFill patternType="solid">
          <fgColor indexed="51"/>
          <bgColor rgb="FF99CC00"/>
        </patternFill>
      </fill>
    </dxf>
    <dxf>
      <font>
        <b val="0"/>
        <sz val="11"/>
      </font>
      <fill>
        <patternFill patternType="solid">
          <fgColor indexed="53"/>
          <bgColor indexed="25"/>
        </patternFill>
      </fill>
    </dxf>
    <dxf>
      <fill>
        <patternFill patternType="solid">
          <fgColor indexed="21"/>
          <bgColor indexed="57"/>
        </patternFill>
      </fill>
    </dxf>
    <dxf>
      <fill>
        <patternFill patternType="solid">
          <fgColor indexed="34"/>
          <bgColor indexed="13"/>
        </patternFill>
      </fill>
    </dxf>
    <dxf>
      <fill>
        <patternFill patternType="solid">
          <fgColor indexed="19"/>
          <bgColor indexed="52"/>
        </patternFill>
      </fill>
    </dxf>
    <dxf>
      <fill>
        <patternFill patternType="solid">
          <fgColor indexed="34"/>
          <bgColor indexed="13"/>
        </patternFill>
      </fill>
    </dxf>
    <dxf>
      <fill>
        <patternFill patternType="solid">
          <fgColor indexed="19"/>
          <bgColor indexed="52"/>
        </patternFill>
      </fill>
    </dxf>
    <dxf>
      <fill>
        <patternFill patternType="solid">
          <fgColor indexed="60"/>
          <bgColor indexed="10"/>
        </patternFill>
      </fill>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5"/>
          <bgColor indexed="23"/>
        </patternFill>
      </fill>
    </dxf>
    <dxf>
      <fill>
        <patternFill patternType="solid">
          <fgColor indexed="44"/>
          <bgColor indexed="24"/>
        </patternFill>
      </fill>
      <border>
        <left>
          <color indexed="63"/>
        </left>
        <right>
          <color indexed="63"/>
        </right>
        <top>
          <color indexed="63"/>
        </top>
        <bottom style="thin">
          <color indexed="8"/>
        </bottom>
      </border>
    </dxf>
    <dxf>
      <font>
        <b/>
        <i val="0"/>
        <u val="none"/>
        <strike val="0"/>
        <sz val="16"/>
        <color indexed="8"/>
      </font>
      <fill>
        <patternFill patternType="solid">
          <fgColor indexed="53"/>
          <bgColor indexed="25"/>
        </patternFill>
      </fill>
    </dxf>
    <dxf>
      <font>
        <b/>
        <i val="0"/>
        <u val="none"/>
        <strike val="0"/>
        <sz val="16"/>
        <color indexed="8"/>
      </font>
      <fill>
        <patternFill patternType="solid">
          <fgColor indexed="51"/>
          <bgColor rgb="FF99CC00"/>
        </patternFill>
      </fill>
    </dxf>
    <dxf>
      <font>
        <b/>
        <i val="0"/>
        <u val="none"/>
        <strike val="0"/>
        <sz val="16"/>
        <color indexed="8"/>
      </font>
      <fill>
        <patternFill patternType="solid">
          <fgColor indexed="55"/>
          <bgColor indexed="23"/>
        </patternFill>
      </fill>
    </dxf>
    <dxf>
      <fill>
        <patternFill patternType="solid">
          <fgColor indexed="24"/>
          <bgColor indexed="44"/>
        </patternFill>
      </fill>
    </dxf>
    <dxf>
      <fill>
        <patternFill patternType="solid">
          <fgColor indexed="24"/>
          <bgColor indexed="44"/>
        </patternFill>
      </fill>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44"/>
          <bgColor indexed="24"/>
        </patternFill>
      </fill>
      <border>
        <left>
          <color indexed="63"/>
        </left>
        <right>
          <color indexed="63"/>
        </right>
        <top>
          <color indexed="63"/>
        </top>
        <bottom style="thin">
          <color indexed="8"/>
        </bottom>
      </border>
    </dxf>
    <dxf>
      <fill>
        <patternFill patternType="solid">
          <fgColor indexed="24"/>
          <bgColor indexed="44"/>
        </patternFill>
      </fill>
    </dxf>
    <dxf>
      <fill>
        <patternFill patternType="solid">
          <fgColor indexed="24"/>
          <bgColor indexed="44"/>
        </patternFill>
      </fill>
    </dxf>
    <dxf>
      <fill>
        <patternFill patternType="solid">
          <fgColor rgb="FF99CCFF"/>
          <bgColor rgb="FF83CAFF"/>
        </patternFill>
      </fill>
      <border>
        <left>
          <color rgb="FF000000"/>
        </left>
        <right>
          <color rgb="FF000000"/>
        </right>
        <top style="thin">
          <color rgb="FF000000"/>
        </top>
        <bottom>
          <color rgb="FF000000"/>
        </bottom>
      </border>
    </dxf>
    <dxf>
      <fill>
        <patternFill patternType="solid">
          <fgColor rgb="FF99CCFF"/>
          <bgColor rgb="FF83CAFF"/>
        </patternFill>
      </fill>
      <border>
        <left style="thin">
          <color rgb="FF000000"/>
        </left>
        <right>
          <color rgb="FF000000"/>
        </right>
        <top>
          <color rgb="FF000000"/>
        </top>
        <bottom>
          <color rgb="FF000000"/>
        </bottom>
      </border>
    </dxf>
    <dxf>
      <fill>
        <patternFill patternType="solid">
          <fgColor rgb="FF99CCFF"/>
          <bgColor rgb="FF83CAFF"/>
        </patternFill>
      </fill>
      <border>
        <left style="thin">
          <color rgb="FF000000"/>
        </left>
        <right>
          <color rgb="FF000000"/>
        </right>
        <top style="thin">
          <color rgb="FF000000"/>
        </top>
        <bottom>
          <color rgb="FF000000"/>
        </bottom>
      </border>
    </dxf>
    <dxf>
      <fill>
        <patternFill patternType="solid">
          <fgColor rgb="FF99CCFF"/>
          <bgColor rgb="FF83CAFF"/>
        </patternFill>
      </fill>
      <border>
        <left>
          <color rgb="FF000000"/>
        </left>
        <right style="thin">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950E"/>
      <rgbColor rgb="00800080"/>
      <rgbColor rgb="00008080"/>
      <rgbColor rgb="00C0C0C0"/>
      <rgbColor rgb="007DA647"/>
      <rgbColor rgb="0083CAFF"/>
      <rgbColor rgb="00FF6633"/>
      <rgbColor rgb="00FFFFCC"/>
      <rgbColor rgb="00E6E6FF"/>
      <rgbColor rgb="00660066"/>
      <rgbColor rgb="00FF9966"/>
      <rgbColor rgb="000099FF"/>
      <rgbColor rgb="00CCCCCC"/>
      <rgbColor rgb="00000080"/>
      <rgbColor rgb="00FF00FF"/>
      <rgbColor rgb="00E6FF00"/>
      <rgbColor rgb="0023FF23"/>
      <rgbColor rgb="00800080"/>
      <rgbColor rgb="00800000"/>
      <rgbColor rgb="00008080"/>
      <rgbColor rgb="000000FF"/>
      <rgbColor rgb="0000B8FF"/>
      <rgbColor rgb="00E6E6E6"/>
      <rgbColor rgb="00FFFF66"/>
      <rgbColor rgb="00FFFF99"/>
      <rgbColor rgb="0099CCFF"/>
      <rgbColor rgb="00FFCC66"/>
      <rgbColor rgb="00B3B3B3"/>
      <rgbColor rgb="00FFCC99"/>
      <rgbColor rgb="003366FF"/>
      <rgbColor rgb="0033CCCC"/>
      <rgbColor rgb="00CCCC00"/>
      <rgbColor rgb="00FFD320"/>
      <rgbColor rgb="00FF9900"/>
      <rgbColor rgb="00FF6600"/>
      <rgbColor rgb="00E6E64C"/>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2</xdr:row>
      <xdr:rowOff>57150</xdr:rowOff>
    </xdr:from>
    <xdr:to>
      <xdr:col>7</xdr:col>
      <xdr:colOff>1714500</xdr:colOff>
      <xdr:row>12</xdr:row>
      <xdr:rowOff>38100</xdr:rowOff>
    </xdr:to>
    <xdr:pic>
      <xdr:nvPicPr>
        <xdr:cNvPr id="1" name="Picture 9"/>
        <xdr:cNvPicPr preferRelativeResize="1">
          <a:picLocks noChangeAspect="1"/>
        </xdr:cNvPicPr>
      </xdr:nvPicPr>
      <xdr:blipFill>
        <a:blip r:embed="rId1"/>
        <a:stretch>
          <a:fillRect/>
        </a:stretch>
      </xdr:blipFill>
      <xdr:spPr>
        <a:xfrm>
          <a:off x="2590800" y="247650"/>
          <a:ext cx="2124075" cy="1828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9525</xdr:colOff>
      <xdr:row>7</xdr:row>
      <xdr:rowOff>228600</xdr:rowOff>
    </xdr:to>
    <xdr:pic>
      <xdr:nvPicPr>
        <xdr:cNvPr id="1" name="Picture 9"/>
        <xdr:cNvPicPr preferRelativeResize="1">
          <a:picLocks noChangeAspect="1"/>
        </xdr:cNvPicPr>
      </xdr:nvPicPr>
      <xdr:blipFill>
        <a:blip r:embed="rId1"/>
        <a:stretch>
          <a:fillRect/>
        </a:stretch>
      </xdr:blipFill>
      <xdr:spPr>
        <a:xfrm>
          <a:off x="190500" y="180975"/>
          <a:ext cx="1362075" cy="1238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xdr:row>
      <xdr:rowOff>38100</xdr:rowOff>
    </xdr:from>
    <xdr:to>
      <xdr:col>2</xdr:col>
      <xdr:colOff>952500</xdr:colOff>
      <xdr:row>4</xdr:row>
      <xdr:rowOff>142875</xdr:rowOff>
    </xdr:to>
    <xdr:pic>
      <xdr:nvPicPr>
        <xdr:cNvPr id="1" name="Picture 9"/>
        <xdr:cNvPicPr preferRelativeResize="1">
          <a:picLocks noChangeAspect="1"/>
        </xdr:cNvPicPr>
      </xdr:nvPicPr>
      <xdr:blipFill>
        <a:blip r:embed="rId1"/>
        <a:stretch>
          <a:fillRect/>
        </a:stretch>
      </xdr:blipFill>
      <xdr:spPr>
        <a:xfrm>
          <a:off x="400050" y="190500"/>
          <a:ext cx="96202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xdr:row>
      <xdr:rowOff>66675</xdr:rowOff>
    </xdr:from>
    <xdr:to>
      <xdr:col>2</xdr:col>
      <xdr:colOff>1209675</xdr:colOff>
      <xdr:row>4</xdr:row>
      <xdr:rowOff>180975</xdr:rowOff>
    </xdr:to>
    <xdr:pic>
      <xdr:nvPicPr>
        <xdr:cNvPr id="1" name="Picture 9"/>
        <xdr:cNvPicPr preferRelativeResize="1">
          <a:picLocks noChangeAspect="1"/>
        </xdr:cNvPicPr>
      </xdr:nvPicPr>
      <xdr:blipFill>
        <a:blip r:embed="rId1"/>
        <a:stretch>
          <a:fillRect/>
        </a:stretch>
      </xdr:blipFill>
      <xdr:spPr>
        <a:xfrm>
          <a:off x="295275" y="142875"/>
          <a:ext cx="11144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xdr:row>
      <xdr:rowOff>47625</xdr:rowOff>
    </xdr:from>
    <xdr:to>
      <xdr:col>2</xdr:col>
      <xdr:colOff>1333500</xdr:colOff>
      <xdr:row>6</xdr:row>
      <xdr:rowOff>152400</xdr:rowOff>
    </xdr:to>
    <xdr:pic>
      <xdr:nvPicPr>
        <xdr:cNvPr id="1" name="Picture 9"/>
        <xdr:cNvPicPr preferRelativeResize="1">
          <a:picLocks noChangeAspect="1"/>
        </xdr:cNvPicPr>
      </xdr:nvPicPr>
      <xdr:blipFill>
        <a:blip r:embed="rId1"/>
        <a:stretch>
          <a:fillRect/>
        </a:stretch>
      </xdr:blipFill>
      <xdr:spPr>
        <a:xfrm>
          <a:off x="285750" y="161925"/>
          <a:ext cx="127635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85725</xdr:rowOff>
    </xdr:from>
    <xdr:to>
      <xdr:col>2</xdr:col>
      <xdr:colOff>1400175</xdr:colOff>
      <xdr:row>7</xdr:row>
      <xdr:rowOff>190500</xdr:rowOff>
    </xdr:to>
    <xdr:pic>
      <xdr:nvPicPr>
        <xdr:cNvPr id="1" name="Picture 9"/>
        <xdr:cNvPicPr preferRelativeResize="1">
          <a:picLocks noChangeAspect="1"/>
        </xdr:cNvPicPr>
      </xdr:nvPicPr>
      <xdr:blipFill>
        <a:blip r:embed="rId1"/>
        <a:stretch>
          <a:fillRect/>
        </a:stretch>
      </xdr:blipFill>
      <xdr:spPr>
        <a:xfrm>
          <a:off x="200025" y="180975"/>
          <a:ext cx="1428750"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19050</xdr:rowOff>
    </xdr:from>
    <xdr:to>
      <xdr:col>2</xdr:col>
      <xdr:colOff>1162050</xdr:colOff>
      <xdr:row>8</xdr:row>
      <xdr:rowOff>19050</xdr:rowOff>
    </xdr:to>
    <xdr:pic>
      <xdr:nvPicPr>
        <xdr:cNvPr id="1" name="Picture 9"/>
        <xdr:cNvPicPr preferRelativeResize="1">
          <a:picLocks noChangeAspect="1"/>
        </xdr:cNvPicPr>
      </xdr:nvPicPr>
      <xdr:blipFill>
        <a:blip r:embed="rId1"/>
        <a:stretch>
          <a:fillRect/>
        </a:stretch>
      </xdr:blipFill>
      <xdr:spPr>
        <a:xfrm>
          <a:off x="200025" y="190500"/>
          <a:ext cx="1181100"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57150</xdr:rowOff>
    </xdr:from>
    <xdr:to>
      <xdr:col>2</xdr:col>
      <xdr:colOff>1219200</xdr:colOff>
      <xdr:row>8</xdr:row>
      <xdr:rowOff>123825</xdr:rowOff>
    </xdr:to>
    <xdr:pic>
      <xdr:nvPicPr>
        <xdr:cNvPr id="1" name="Picture 9"/>
        <xdr:cNvPicPr preferRelativeResize="1">
          <a:picLocks noChangeAspect="1"/>
        </xdr:cNvPicPr>
      </xdr:nvPicPr>
      <xdr:blipFill>
        <a:blip r:embed="rId1"/>
        <a:stretch>
          <a:fillRect/>
        </a:stretch>
      </xdr:blipFill>
      <xdr:spPr>
        <a:xfrm>
          <a:off x="161925" y="171450"/>
          <a:ext cx="1257300" cy="1000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xdr:row>
      <xdr:rowOff>66675</xdr:rowOff>
    </xdr:from>
    <xdr:to>
      <xdr:col>2</xdr:col>
      <xdr:colOff>1019175</xdr:colOff>
      <xdr:row>7</xdr:row>
      <xdr:rowOff>38100</xdr:rowOff>
    </xdr:to>
    <xdr:pic>
      <xdr:nvPicPr>
        <xdr:cNvPr id="1" name="Picture 9"/>
        <xdr:cNvPicPr preferRelativeResize="1">
          <a:picLocks noChangeAspect="1"/>
        </xdr:cNvPicPr>
      </xdr:nvPicPr>
      <xdr:blipFill>
        <a:blip r:embed="rId1"/>
        <a:stretch>
          <a:fillRect/>
        </a:stretch>
      </xdr:blipFill>
      <xdr:spPr>
        <a:xfrm>
          <a:off x="257175" y="123825"/>
          <a:ext cx="942975" cy="781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81</xdr:row>
      <xdr:rowOff>76200</xdr:rowOff>
    </xdr:from>
    <xdr:to>
      <xdr:col>3</xdr:col>
      <xdr:colOff>228600</xdr:colOff>
      <xdr:row>87</xdr:row>
      <xdr:rowOff>219075</xdr:rowOff>
    </xdr:to>
    <xdr:pic>
      <xdr:nvPicPr>
        <xdr:cNvPr id="1" name="Picture 9"/>
        <xdr:cNvPicPr preferRelativeResize="1">
          <a:picLocks noChangeAspect="1"/>
        </xdr:cNvPicPr>
      </xdr:nvPicPr>
      <xdr:blipFill>
        <a:blip r:embed="rId1"/>
        <a:stretch>
          <a:fillRect/>
        </a:stretch>
      </xdr:blipFill>
      <xdr:spPr>
        <a:xfrm>
          <a:off x="171450" y="923925"/>
          <a:ext cx="1219200"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57150</xdr:rowOff>
    </xdr:from>
    <xdr:to>
      <xdr:col>2</xdr:col>
      <xdr:colOff>790575</xdr:colOff>
      <xdr:row>5</xdr:row>
      <xdr:rowOff>142875</xdr:rowOff>
    </xdr:to>
    <xdr:pic>
      <xdr:nvPicPr>
        <xdr:cNvPr id="1" name="Picture 9"/>
        <xdr:cNvPicPr preferRelativeResize="1">
          <a:picLocks noChangeAspect="1"/>
        </xdr:cNvPicPr>
      </xdr:nvPicPr>
      <xdr:blipFill>
        <a:blip r:embed="rId1"/>
        <a:stretch>
          <a:fillRect/>
        </a:stretch>
      </xdr:blipFill>
      <xdr:spPr>
        <a:xfrm>
          <a:off x="142875" y="133350"/>
          <a:ext cx="8191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P31"/>
  <sheetViews>
    <sheetView showGridLines="0" showRowColHeaders="0" tabSelected="1" zoomScaleSheetLayoutView="100" zoomScalePageLayoutView="0" workbookViewId="0" topLeftCell="A1">
      <selection activeCell="H25" sqref="H25"/>
    </sheetView>
  </sheetViews>
  <sheetFormatPr defaultColWidth="9.140625" defaultRowHeight="12.75"/>
  <cols>
    <col min="1" max="1" width="1.8515625" style="0" customWidth="1"/>
    <col min="2" max="2" width="1.421875" style="0" customWidth="1"/>
    <col min="3" max="3" width="20.7109375" style="0" customWidth="1"/>
    <col min="4" max="5" width="1.421875" style="0" customWidth="1"/>
    <col min="6" max="6" width="16.28125" style="1" customWidth="1"/>
    <col min="7" max="7" width="1.8515625" style="0" customWidth="1"/>
    <col min="8" max="8" width="37.57421875" style="0" customWidth="1"/>
    <col min="9" max="9" width="2.421875" style="0" customWidth="1"/>
    <col min="10" max="10" width="10.00390625" style="0" customWidth="1"/>
    <col min="11" max="11" width="8.8515625" style="2" hidden="1" customWidth="1"/>
    <col min="12" max="12" width="9.140625" style="2" hidden="1" customWidth="1"/>
    <col min="13" max="13" width="0" style="0" hidden="1" customWidth="1"/>
  </cols>
  <sheetData>
    <row r="1" spans="11:12" ht="7.5" customHeight="1">
      <c r="K1" s="3"/>
      <c r="L1" s="4"/>
    </row>
    <row r="2" spans="2:12" ht="7.5" customHeight="1">
      <c r="B2" s="5"/>
      <c r="C2" s="6"/>
      <c r="D2" s="6"/>
      <c r="E2" s="6"/>
      <c r="F2" s="7"/>
      <c r="G2" s="6"/>
      <c r="H2" s="6"/>
      <c r="I2" s="8"/>
      <c r="K2" s="3"/>
      <c r="L2" s="4"/>
    </row>
    <row r="3" spans="2:12" ht="15.75" thickBot="1">
      <c r="B3" s="9"/>
      <c r="C3" s="10"/>
      <c r="D3" s="11"/>
      <c r="E3" s="12"/>
      <c r="F3" s="13"/>
      <c r="G3" s="14"/>
      <c r="H3" s="15"/>
      <c r="I3" s="16"/>
      <c r="K3" s="17" t="s">
        <v>0</v>
      </c>
      <c r="L3" s="18"/>
    </row>
    <row r="4" spans="2:12" ht="15">
      <c r="B4" s="9"/>
      <c r="C4" s="1119" t="s">
        <v>2</v>
      </c>
      <c r="D4" s="11"/>
      <c r="E4" s="19"/>
      <c r="F4" s="20"/>
      <c r="G4" s="21"/>
      <c r="H4" s="22"/>
      <c r="I4" s="16"/>
      <c r="K4" s="17" t="s">
        <v>1</v>
      </c>
      <c r="L4" s="18"/>
    </row>
    <row r="5" spans="2:11" ht="14.25" customHeight="1" thickBot="1">
      <c r="B5" s="9"/>
      <c r="C5" s="1120"/>
      <c r="D5" s="11"/>
      <c r="E5" s="19"/>
      <c r="F5" s="20"/>
      <c r="G5" s="21"/>
      <c r="H5" s="22"/>
      <c r="I5" s="16"/>
      <c r="K5" s="18" t="s">
        <v>3</v>
      </c>
    </row>
    <row r="6" spans="2:11" ht="15" customHeight="1" thickBot="1">
      <c r="B6" s="9"/>
      <c r="C6" s="992"/>
      <c r="D6" s="11"/>
      <c r="E6" s="19"/>
      <c r="F6" s="20"/>
      <c r="G6" s="21"/>
      <c r="H6" s="22"/>
      <c r="I6" s="16"/>
      <c r="K6" s="17" t="s">
        <v>4</v>
      </c>
    </row>
    <row r="7" spans="2:11" ht="15">
      <c r="B7" s="9"/>
      <c r="C7" s="1121" t="s">
        <v>71</v>
      </c>
      <c r="D7" s="11"/>
      <c r="E7" s="19"/>
      <c r="F7" s="20"/>
      <c r="G7" s="21"/>
      <c r="H7" s="24"/>
      <c r="I7" s="16"/>
      <c r="K7" s="17" t="s">
        <v>5</v>
      </c>
    </row>
    <row r="8" spans="2:11" ht="15" customHeight="1" thickBot="1">
      <c r="B8" s="9"/>
      <c r="C8" s="1120"/>
      <c r="D8" s="11"/>
      <c r="E8" s="19"/>
      <c r="F8" s="20"/>
      <c r="G8" s="21"/>
      <c r="H8" s="22"/>
      <c r="I8" s="16"/>
      <c r="K8" s="17" t="s">
        <v>6</v>
      </c>
    </row>
    <row r="9" spans="2:11" ht="15" customHeight="1" thickBot="1">
      <c r="B9" s="9"/>
      <c r="C9" s="992"/>
      <c r="D9" s="11"/>
      <c r="E9" s="19"/>
      <c r="F9" s="20"/>
      <c r="G9" s="21"/>
      <c r="H9" s="22"/>
      <c r="I9" s="16"/>
      <c r="K9" s="17"/>
    </row>
    <row r="10" spans="2:11" ht="15">
      <c r="B10" s="9"/>
      <c r="C10" s="1122" t="s">
        <v>41</v>
      </c>
      <c r="D10" s="11"/>
      <c r="E10" s="19"/>
      <c r="F10" s="20"/>
      <c r="G10" s="21"/>
      <c r="H10" s="22"/>
      <c r="I10" s="16"/>
      <c r="K10" s="17"/>
    </row>
    <row r="11" spans="2:11" ht="15.75" thickBot="1">
      <c r="B11" s="9"/>
      <c r="C11" s="1123"/>
      <c r="D11" s="11"/>
      <c r="E11" s="19"/>
      <c r="F11" s="20"/>
      <c r="G11" s="21"/>
      <c r="H11" s="22"/>
      <c r="I11" s="16"/>
      <c r="K11" s="17"/>
    </row>
    <row r="12" spans="2:11" ht="9.75" customHeight="1">
      <c r="B12" s="9"/>
      <c r="C12" s="10"/>
      <c r="D12" s="11"/>
      <c r="E12" s="19"/>
      <c r="F12" s="20"/>
      <c r="G12" s="21"/>
      <c r="H12" s="22"/>
      <c r="I12" s="16"/>
      <c r="K12" s="17"/>
    </row>
    <row r="13" spans="2:11" ht="24" customHeight="1">
      <c r="B13" s="9"/>
      <c r="C13" s="10"/>
      <c r="D13" s="11"/>
      <c r="E13" s="1117" t="s">
        <v>7</v>
      </c>
      <c r="F13" s="1117"/>
      <c r="G13" s="1117"/>
      <c r="H13" s="1117"/>
      <c r="I13" s="16"/>
      <c r="K13" s="17"/>
    </row>
    <row r="14" spans="2:11" ht="7.5" customHeight="1">
      <c r="B14" s="9"/>
      <c r="C14" s="10"/>
      <c r="D14" s="11"/>
      <c r="E14" s="19"/>
      <c r="F14" s="20"/>
      <c r="G14" s="21"/>
      <c r="H14" s="22"/>
      <c r="I14" s="16"/>
      <c r="K14" s="17"/>
    </row>
    <row r="15" spans="2:12" ht="7.5" customHeight="1">
      <c r="B15" s="9"/>
      <c r="C15" s="10"/>
      <c r="D15" s="11"/>
      <c r="E15" s="25"/>
      <c r="F15" s="26"/>
      <c r="G15" s="26"/>
      <c r="H15" s="27"/>
      <c r="I15" s="16"/>
      <c r="K15" s="17"/>
      <c r="L15" s="28"/>
    </row>
    <row r="16" spans="2:11" ht="7.5" customHeight="1">
      <c r="B16" s="9"/>
      <c r="C16" s="10"/>
      <c r="D16" s="11"/>
      <c r="E16" s="25"/>
      <c r="F16" s="26"/>
      <c r="G16" s="26"/>
      <c r="H16" s="27" t="s">
        <v>8</v>
      </c>
      <c r="I16" s="16"/>
      <c r="K16" s="17"/>
    </row>
    <row r="17" spans="2:16" ht="15">
      <c r="B17" s="9"/>
      <c r="C17" s="10"/>
      <c r="D17" s="11"/>
      <c r="E17" s="29"/>
      <c r="F17" s="30" t="s">
        <v>9</v>
      </c>
      <c r="G17" s="31"/>
      <c r="H17" s="32"/>
      <c r="I17" s="16"/>
      <c r="K17" s="17" t="s">
        <v>10</v>
      </c>
      <c r="P17" s="3"/>
    </row>
    <row r="18" spans="2:12" ht="15">
      <c r="B18" s="9"/>
      <c r="C18" s="10"/>
      <c r="D18" s="11"/>
      <c r="E18" s="25"/>
      <c r="F18" s="30"/>
      <c r="G18" s="31"/>
      <c r="H18" s="27"/>
      <c r="I18" s="16"/>
      <c r="K18" s="17" t="s">
        <v>11</v>
      </c>
      <c r="L18" s="28"/>
    </row>
    <row r="19" spans="2:14" ht="15">
      <c r="B19" s="9"/>
      <c r="C19" s="10"/>
      <c r="D19" s="11"/>
      <c r="E19" s="29"/>
      <c r="F19" s="30" t="s">
        <v>12</v>
      </c>
      <c r="G19" s="31"/>
      <c r="H19" s="32"/>
      <c r="I19" s="16"/>
      <c r="K19" s="17"/>
      <c r="M19" s="3"/>
      <c r="N19" s="3"/>
    </row>
    <row r="20" spans="2:14" ht="15">
      <c r="B20" s="9"/>
      <c r="C20" s="10"/>
      <c r="D20" s="11"/>
      <c r="E20" s="25"/>
      <c r="F20" s="30"/>
      <c r="G20" s="31"/>
      <c r="H20" s="27"/>
      <c r="I20" s="16"/>
      <c r="K20" s="17"/>
      <c r="M20" s="3"/>
      <c r="N20" s="3"/>
    </row>
    <row r="21" spans="2:15" ht="15">
      <c r="B21" s="9"/>
      <c r="C21" s="10"/>
      <c r="D21" s="11"/>
      <c r="E21" s="25"/>
      <c r="F21" s="30" t="s">
        <v>13</v>
      </c>
      <c r="G21" s="31"/>
      <c r="H21" s="33" t="s">
        <v>1</v>
      </c>
      <c r="I21" s="16"/>
      <c r="K21" s="17"/>
      <c r="L21" s="17"/>
      <c r="N21" s="3"/>
      <c r="O21" s="34"/>
    </row>
    <row r="22" spans="2:11" ht="16.5" customHeight="1">
      <c r="B22" s="9"/>
      <c r="C22" s="10"/>
      <c r="D22" s="11"/>
      <c r="E22" s="25"/>
      <c r="F22" s="26"/>
      <c r="G22" s="26"/>
      <c r="H22" s="27"/>
      <c r="I22" s="16"/>
      <c r="K22" s="17"/>
    </row>
    <row r="23" spans="2:14" ht="15">
      <c r="B23" s="9"/>
      <c r="C23" s="10"/>
      <c r="D23" s="11"/>
      <c r="E23" s="25"/>
      <c r="F23" s="30" t="s">
        <v>14</v>
      </c>
      <c r="G23" s="31"/>
      <c r="H23" s="33" t="s">
        <v>10</v>
      </c>
      <c r="I23" s="16"/>
      <c r="K23" s="17">
        <f>IF(H23="Lambs Sold",1,2)</f>
        <v>1</v>
      </c>
      <c r="L23" s="17"/>
      <c r="N23" s="3"/>
    </row>
    <row r="24" spans="2:14" ht="15">
      <c r="B24" s="9"/>
      <c r="C24" s="10"/>
      <c r="D24" s="11"/>
      <c r="E24" s="25"/>
      <c r="F24" s="30"/>
      <c r="G24" s="31"/>
      <c r="H24" s="27"/>
      <c r="I24" s="16"/>
      <c r="K24" s="17"/>
      <c r="L24" s="17"/>
      <c r="N24" s="3"/>
    </row>
    <row r="25" spans="2:14" ht="15">
      <c r="B25" s="9"/>
      <c r="C25" s="10"/>
      <c r="D25" s="11"/>
      <c r="E25" s="25"/>
      <c r="F25" s="30" t="s">
        <v>678</v>
      </c>
      <c r="G25" s="31"/>
      <c r="H25" s="989">
        <v>2011</v>
      </c>
      <c r="I25" s="16"/>
      <c r="K25" s="17"/>
      <c r="L25" s="17"/>
      <c r="N25" s="3"/>
    </row>
    <row r="26" spans="2:9" ht="17.25" customHeight="1">
      <c r="B26" s="9"/>
      <c r="C26" s="10"/>
      <c r="D26" s="11"/>
      <c r="E26" s="988"/>
      <c r="F26" s="35"/>
      <c r="G26" s="36"/>
      <c r="H26" s="27"/>
      <c r="I26" s="16"/>
    </row>
    <row r="27" spans="2:9" ht="60.75" customHeight="1">
      <c r="B27" s="9"/>
      <c r="C27" s="10"/>
      <c r="D27" s="11"/>
      <c r="E27" s="1118" t="s">
        <v>15</v>
      </c>
      <c r="F27" s="1118"/>
      <c r="G27" s="1118"/>
      <c r="H27" s="1118"/>
      <c r="I27" s="16"/>
    </row>
    <row r="28" spans="2:9" ht="12.75">
      <c r="B28" s="9"/>
      <c r="C28" s="10"/>
      <c r="D28" s="11"/>
      <c r="E28" s="1118"/>
      <c r="F28" s="1118"/>
      <c r="G28" s="1118"/>
      <c r="H28" s="1118"/>
      <c r="I28" s="16"/>
    </row>
    <row r="29" spans="2:9" ht="7.5" customHeight="1">
      <c r="B29" s="37"/>
      <c r="C29" s="991"/>
      <c r="D29" s="38"/>
      <c r="E29" s="38"/>
      <c r="F29" s="39"/>
      <c r="G29" s="38"/>
      <c r="H29" s="38"/>
      <c r="I29" s="40"/>
    </row>
    <row r="30" ht="12.75">
      <c r="I30" s="3"/>
    </row>
    <row r="31" ht="14.25">
      <c r="I31" s="3"/>
    </row>
  </sheetData>
  <sheetProtection password="DEBF" sheet="1"/>
  <mergeCells count="5">
    <mergeCell ref="E13:H13"/>
    <mergeCell ref="E27:H28"/>
    <mergeCell ref="C4:C5"/>
    <mergeCell ref="C7:C8"/>
    <mergeCell ref="C10:C11"/>
  </mergeCells>
  <conditionalFormatting sqref="H17 H19 H21 H23">
    <cfRule type="expression" priority="2" dxfId="12" stopIfTrue="1">
      <formula>LEN(H17)=0</formula>
    </cfRule>
  </conditionalFormatting>
  <conditionalFormatting sqref="H25">
    <cfRule type="expression" priority="1" dxfId="12" stopIfTrue="1">
      <formula>LEN(TRIM(H25))=0</formula>
    </cfRule>
  </conditionalFormatting>
  <dataValidations count="2">
    <dataValidation type="list" allowBlank="1" showErrorMessage="1" sqref="H23">
      <formula1>$K$17:$K$18</formula1>
    </dataValidation>
    <dataValidation type="list" allowBlank="1" showErrorMessage="1" sqref="H21">
      <formula1>$K$1:$K$8</formula1>
    </dataValidation>
  </dataValidations>
  <hyperlinks>
    <hyperlink ref="C4" location="FarmData!H5" display="   Next  "/>
    <hyperlink ref="C7" location="Menu!E3" display="   Menu   "/>
    <hyperlink ref="C10" location="Background!F3" display="  Background  "/>
  </hyperlinks>
  <printOptions/>
  <pageMargins left="0.7" right="0.7" top="0.75" bottom="0.75" header="0.5118055555555555" footer="0.5118055555555555"/>
  <pageSetup horizontalDpi="300" verticalDpi="300" orientation="portrait" scale="93" r:id="rId4"/>
  <drawing r:id="rId3"/>
  <legacyDrawing r:id="rId2"/>
</worksheet>
</file>

<file path=xl/worksheets/sheet10.xml><?xml version="1.0" encoding="utf-8"?>
<worksheet xmlns="http://schemas.openxmlformats.org/spreadsheetml/2006/main" xmlns:r="http://schemas.openxmlformats.org/officeDocument/2006/relationships">
  <dimension ref="B2:W82"/>
  <sheetViews>
    <sheetView showGridLines="0" showRowColHeaders="0" zoomScaleSheetLayoutView="100" zoomScalePageLayoutView="0" workbookViewId="0" topLeftCell="A1">
      <selection activeCell="J11" sqref="J11"/>
    </sheetView>
  </sheetViews>
  <sheetFormatPr defaultColWidth="9.140625" defaultRowHeight="12.75"/>
  <cols>
    <col min="1" max="1" width="1.57421875" style="41" customWidth="1"/>
    <col min="2" max="2" width="1.28515625" style="41" customWidth="1"/>
    <col min="3" max="3" width="20.28125" style="41" customWidth="1"/>
    <col min="4" max="4" width="1.28515625" style="41" customWidth="1"/>
    <col min="5" max="5" width="18.140625" style="41" customWidth="1"/>
    <col min="6" max="6" width="17.00390625" style="41" customWidth="1"/>
    <col min="7" max="7" width="21.7109375" style="41" customWidth="1"/>
    <col min="8" max="8" width="20.00390625" style="41" customWidth="1"/>
    <col min="9" max="9" width="18.8515625" style="41" customWidth="1"/>
    <col min="10" max="10" width="19.28125" style="41" customWidth="1"/>
    <col min="11" max="11" width="0.9921875" style="41" customWidth="1"/>
    <col min="12" max="12" width="1.28515625" style="41" customWidth="1"/>
    <col min="13" max="13" width="39.28125" style="41" customWidth="1"/>
    <col min="14" max="23" width="0" style="41" hidden="1" customWidth="1"/>
    <col min="24" max="16384" width="9.140625" style="41" customWidth="1"/>
  </cols>
  <sheetData>
    <row r="1" ht="6.75" customHeight="1"/>
    <row r="2" spans="2:12" ht="7.5" customHeight="1">
      <c r="B2" s="45"/>
      <c r="C2" s="47"/>
      <c r="D2" s="47"/>
      <c r="E2" s="47"/>
      <c r="F2" s="47"/>
      <c r="G2" s="47"/>
      <c r="H2" s="47"/>
      <c r="I2" s="47"/>
      <c r="J2" s="47"/>
      <c r="K2" s="48"/>
      <c r="L2" s="76"/>
    </row>
    <row r="3" spans="2:19" ht="15.75" customHeight="1">
      <c r="B3" s="49"/>
      <c r="C3" s="51"/>
      <c r="D3" s="51"/>
      <c r="E3" s="1262" t="s">
        <v>304</v>
      </c>
      <c r="F3" s="1262"/>
      <c r="G3" s="1262"/>
      <c r="H3" s="1262"/>
      <c r="I3" s="1262"/>
      <c r="J3" s="1262"/>
      <c r="K3" s="52"/>
      <c r="L3" s="76"/>
      <c r="O3" s="510" t="s">
        <v>305</v>
      </c>
      <c r="P3" s="510" t="s">
        <v>306</v>
      </c>
      <c r="Q3" s="510" t="s">
        <v>307</v>
      </c>
      <c r="R3" s="510" t="s">
        <v>308</v>
      </c>
      <c r="S3" s="510" t="s">
        <v>309</v>
      </c>
    </row>
    <row r="4" spans="2:19" ht="12.75">
      <c r="B4" s="49"/>
      <c r="C4" s="51"/>
      <c r="D4" s="51"/>
      <c r="E4" s="1262"/>
      <c r="F4" s="1262"/>
      <c r="G4" s="1262"/>
      <c r="H4" s="1262"/>
      <c r="I4" s="1262"/>
      <c r="J4" s="1262"/>
      <c r="K4" s="52"/>
      <c r="L4" s="76"/>
      <c r="O4" s="511">
        <f>(0.12+((FarmData!$H$10-150)/30)*0.02)*(($J$11/$P$39*0.49)+($J$12/$P$40*0.26)+($J$13/$P$41*0.1)+($J$14/$P$42*0.1)+($J$15/$P$43*0.05))</f>
        <v>0.019950819672131137</v>
      </c>
      <c r="P4" s="512">
        <f>O4*I18</f>
        <v>1.6160163934426222</v>
      </c>
      <c r="Q4" s="513" t="e">
        <f>IF(J18=0,0,(Background!$Q$75*($J$23/($J$23+$J$27))/((FarmData!$L$5+FarmData!$H$5)/2))/$J$23)</f>
        <v>#DIV/0!</v>
      </c>
      <c r="R4" s="512" t="e">
        <f>J18*Q4</f>
        <v>#DIV/0!</v>
      </c>
      <c r="S4" s="512" t="e">
        <f>P4+R4</f>
        <v>#DIV/0!</v>
      </c>
    </row>
    <row r="5" spans="2:19" ht="12.75">
      <c r="B5" s="49"/>
      <c r="C5" s="51"/>
      <c r="D5" s="51"/>
      <c r="E5" s="1262"/>
      <c r="F5" s="1262"/>
      <c r="G5" s="1262"/>
      <c r="H5" s="1262"/>
      <c r="I5" s="1262"/>
      <c r="J5" s="1262"/>
      <c r="K5" s="52"/>
      <c r="L5" s="76"/>
      <c r="O5" s="514">
        <f>(0.19+((FarmData!$H$10-150)/30)*0.01)*(($J$11/$P$39*0.49)+($J$12/$P$40*0.26)+($J$13/$P$41*0.1)+($J$14/$P$42*0.1)+($J$15/$P$43*0.05))</f>
        <v>0.13965573770491804</v>
      </c>
      <c r="P5" s="179">
        <f>O5*I19</f>
        <v>1.9551803278688527</v>
      </c>
      <c r="Q5" s="513">
        <f>IF(J19=0,0,(Background!$Q$75*($J$23/($J$23+$J$27))/((FarmData!$L$5+FarmData!$H$5)/2))/$J$23)</f>
        <v>0</v>
      </c>
      <c r="R5" s="515">
        <f>J19*Q5</f>
        <v>0</v>
      </c>
      <c r="S5" s="515">
        <f>P5+R5</f>
        <v>1.9551803278688527</v>
      </c>
    </row>
    <row r="6" spans="2:19" ht="30">
      <c r="B6" s="49"/>
      <c r="C6" s="51"/>
      <c r="D6" s="51"/>
      <c r="E6" s="1263" t="s">
        <v>310</v>
      </c>
      <c r="F6" s="1263"/>
      <c r="G6" s="1263"/>
      <c r="H6" s="1263"/>
      <c r="I6" s="1263"/>
      <c r="J6" s="1263"/>
      <c r="K6" s="52"/>
      <c r="L6" s="76"/>
      <c r="O6" s="511">
        <f>(0.15+((FarmData!$H$10-150)/30)*0.02)*(($J$11/$P$39*0.49)+($J$12/$P$40*0.26)+($J$13/$P$41*0.1)+($J$14/$P$42*0.1)+($J$15/$P$43*0.05))</f>
        <v>0.049877049180327857</v>
      </c>
      <c r="P6" s="512">
        <f>O6*I20</f>
        <v>4.488934426229507</v>
      </c>
      <c r="Q6" s="513">
        <f>IF(J20=0,0,(Background!$Q$75*($J$23/($J$23+$J$27))/((FarmData!$L$5+FarmData!$H$5)/2))/$J$23)</f>
        <v>0</v>
      </c>
      <c r="R6" s="512">
        <f>J20*Q6</f>
        <v>0</v>
      </c>
      <c r="S6" s="512">
        <f>P6+R6</f>
        <v>4.488934426229507</v>
      </c>
    </row>
    <row r="7" spans="2:19" ht="8.25" customHeight="1">
      <c r="B7" s="49"/>
      <c r="C7" s="51"/>
      <c r="D7" s="51"/>
      <c r="E7" s="51"/>
      <c r="F7" s="51"/>
      <c r="G7" s="51"/>
      <c r="H7" s="51"/>
      <c r="I7" s="51"/>
      <c r="J7" s="51"/>
      <c r="K7" s="52"/>
      <c r="L7" s="76"/>
      <c r="O7" s="514" t="e">
        <f>(0.24+((FarmData!$H$10-150)/30)*0.015)+((Snapshot!$E$106-1.5)/0.75*0.05)*(($J$11/$P$39*0.49)+($J$12/$P$40*0.26)+($J$13/$P$41*0.1)+($J$14/$P$42*0.1)+($J$15/$P$43*0.05))</f>
        <v>#DIV/0!</v>
      </c>
      <c r="P7" s="179" t="e">
        <f>O7*I21</f>
        <v>#DIV/0!</v>
      </c>
      <c r="Q7" s="513">
        <f>IF(J21=0,0,(Background!$Q$75*($J$23/($J$23+$J$27))/((FarmData!$L$5+FarmData!$H$5)/2))/$J$23)</f>
        <v>0</v>
      </c>
      <c r="R7" s="515">
        <f>J21*Q7</f>
        <v>0</v>
      </c>
      <c r="S7" s="515" t="e">
        <f>P7+R7</f>
        <v>#DIV/0!</v>
      </c>
    </row>
    <row r="8" spans="2:19" ht="25.5" customHeight="1">
      <c r="B8" s="49"/>
      <c r="C8" s="51"/>
      <c r="D8" s="51"/>
      <c r="E8" s="1259" t="s">
        <v>311</v>
      </c>
      <c r="F8" s="1259"/>
      <c r="G8" s="1259"/>
      <c r="H8" s="1259"/>
      <c r="I8" s="1259"/>
      <c r="J8" s="516">
        <f>Welcome!H25</f>
        <v>2011</v>
      </c>
      <c r="K8" s="517"/>
      <c r="L8" s="999"/>
      <c r="O8" s="511" t="e">
        <f>(0.44+(((FarmData!$H$10-150)/30)*0.015)+((Snapshot!$E$106-1.5)/1.5)*0.1)*(($J$11/$P$39*0.49)+($J$12/$P$40*0.26)+($J$13/$P$41*0.1)+($J$14/$P$42*0.1)+($J$15/$P$43*0.05))</f>
        <v>#DIV/0!</v>
      </c>
      <c r="P8" s="512" t="e">
        <f>O8*I22</f>
        <v>#DIV/0!</v>
      </c>
      <c r="Q8" s="513">
        <f>IF(J22=0,0,(Background!$Q$75*($J$23/($J$23+$J$27))/((FarmData!$L$5+FarmData!$H$5)/2))/$J$23)</f>
        <v>0</v>
      </c>
      <c r="R8" s="512">
        <f>J22*Q8</f>
        <v>0</v>
      </c>
      <c r="S8" s="512" t="e">
        <f>P8+R8</f>
        <v>#DIV/0!</v>
      </c>
    </row>
    <row r="9" spans="2:19" ht="6.75" customHeight="1">
      <c r="B9" s="49"/>
      <c r="C9" s="51"/>
      <c r="D9" s="51"/>
      <c r="E9" s="51"/>
      <c r="F9" s="51"/>
      <c r="G9" s="51"/>
      <c r="H9" s="51"/>
      <c r="I9" s="51"/>
      <c r="J9" s="51"/>
      <c r="K9" s="52"/>
      <c r="L9" s="76"/>
      <c r="O9" s="515"/>
      <c r="P9" s="515"/>
      <c r="Q9" s="515"/>
      <c r="R9" s="515"/>
      <c r="S9" s="515"/>
    </row>
    <row r="10" spans="2:19" s="197" customFormat="1" ht="16.5" customHeight="1" thickBot="1">
      <c r="B10" s="198"/>
      <c r="C10" s="199"/>
      <c r="D10" s="199"/>
      <c r="E10" s="518" t="s">
        <v>312</v>
      </c>
      <c r="F10" s="519" t="s">
        <v>313</v>
      </c>
      <c r="G10" s="520" t="s">
        <v>314</v>
      </c>
      <c r="H10" s="1264"/>
      <c r="I10" s="1264"/>
      <c r="J10" s="521" t="s">
        <v>315</v>
      </c>
      <c r="K10" s="522"/>
      <c r="L10" s="1000"/>
      <c r="N10" s="523"/>
      <c r="O10" s="524" t="s">
        <v>316</v>
      </c>
      <c r="P10" s="524" t="s">
        <v>317</v>
      </c>
      <c r="Q10" s="524" t="s">
        <v>316</v>
      </c>
      <c r="R10" s="524" t="s">
        <v>318</v>
      </c>
      <c r="S10" s="525" t="s">
        <v>309</v>
      </c>
    </row>
    <row r="11" spans="2:19" ht="16.5" customHeight="1" thickBot="1">
      <c r="B11" s="49"/>
      <c r="C11" s="1265" t="s">
        <v>144</v>
      </c>
      <c r="D11" s="51"/>
      <c r="E11" s="49"/>
      <c r="F11" s="221"/>
      <c r="G11" s="1249" t="s">
        <v>319</v>
      </c>
      <c r="H11" s="1249"/>
      <c r="I11" s="1249"/>
      <c r="J11" s="129">
        <v>80</v>
      </c>
      <c r="K11" s="52"/>
      <c r="L11" s="76"/>
      <c r="M11" s="1001" t="s">
        <v>684</v>
      </c>
      <c r="O11" s="526" t="e">
        <f>IF(H30=0,0,H30/I23)</f>
        <v>#DIV/0!</v>
      </c>
      <c r="P11" s="84"/>
      <c r="Q11" s="527" t="e">
        <f>IF(I30=0,0,I30/J23)</f>
        <v>#DIV/0!</v>
      </c>
      <c r="R11" s="84"/>
      <c r="S11" s="528" t="e">
        <f>SUM(S4:S8)</f>
        <v>#DIV/0!</v>
      </c>
    </row>
    <row r="12" spans="2:19" ht="16.5" customHeight="1" thickBot="1">
      <c r="B12" s="49"/>
      <c r="C12" s="1265"/>
      <c r="D12" s="51"/>
      <c r="E12" s="49"/>
      <c r="F12" s="221"/>
      <c r="G12" s="1251" t="s">
        <v>320</v>
      </c>
      <c r="H12" s="1251"/>
      <c r="I12" s="1251"/>
      <c r="J12" s="131">
        <v>160</v>
      </c>
      <c r="K12" s="52"/>
      <c r="L12" s="76"/>
      <c r="M12" s="996"/>
      <c r="O12" s="529"/>
      <c r="P12" s="530"/>
      <c r="Q12" s="531"/>
      <c r="R12" s="531"/>
      <c r="S12" s="532"/>
    </row>
    <row r="13" spans="2:19" ht="16.5" customHeight="1" thickBot="1">
      <c r="B13" s="49"/>
      <c r="C13" s="51"/>
      <c r="D13" s="51"/>
      <c r="E13" s="49"/>
      <c r="F13" s="221"/>
      <c r="G13" s="1251" t="s">
        <v>321</v>
      </c>
      <c r="H13" s="1251"/>
      <c r="I13" s="1251"/>
      <c r="J13" s="131">
        <v>300</v>
      </c>
      <c r="K13" s="52"/>
      <c r="L13" s="76"/>
      <c r="M13" s="996"/>
      <c r="N13" s="43"/>
      <c r="O13" s="533" t="s">
        <v>305</v>
      </c>
      <c r="P13" s="533" t="s">
        <v>322</v>
      </c>
      <c r="Q13" s="534" t="s">
        <v>323</v>
      </c>
      <c r="R13" s="534" t="s">
        <v>324</v>
      </c>
      <c r="S13" s="533" t="s">
        <v>325</v>
      </c>
    </row>
    <row r="14" spans="2:19" ht="16.5" customHeight="1" thickBot="1">
      <c r="B14" s="49"/>
      <c r="C14" s="1155" t="s">
        <v>259</v>
      </c>
      <c r="D14" s="51"/>
      <c r="E14" s="49"/>
      <c r="F14" s="221"/>
      <c r="G14" s="1251" t="s">
        <v>326</v>
      </c>
      <c r="H14" s="1251"/>
      <c r="I14" s="1251"/>
      <c r="J14" s="131">
        <v>50</v>
      </c>
      <c r="K14" s="52"/>
      <c r="L14" s="76"/>
      <c r="M14" s="996"/>
      <c r="O14" s="535">
        <f>($J$12/2000*1.1)+($J$15/35*0.025)+($J$13/2000*1)</f>
        <v>0.263</v>
      </c>
      <c r="P14" s="179">
        <f aca="true" t="shared" si="0" ref="P14:P19">O14*Q27</f>
        <v>3.9450000000000003</v>
      </c>
      <c r="Q14" s="536" t="e">
        <f>IF(R27=0,0,(Background!$Q$75*($J$27/($J$23+$J$27))/Reports!I22)/$J$27)</f>
        <v>#DIV/0!</v>
      </c>
      <c r="R14" s="515" t="e">
        <f aca="true" t="shared" si="1" ref="R14:R19">R27*Q14</f>
        <v>#DIV/0!</v>
      </c>
      <c r="S14" s="515" t="e">
        <f aca="true" t="shared" si="2" ref="S14:S19">P14+R14</f>
        <v>#DIV/0!</v>
      </c>
    </row>
    <row r="15" spans="2:19" ht="16.5" customHeight="1" thickBot="1">
      <c r="B15" s="49"/>
      <c r="C15" s="1155"/>
      <c r="D15" s="51"/>
      <c r="E15" s="49"/>
      <c r="F15" s="212"/>
      <c r="G15" s="1248" t="s">
        <v>327</v>
      </c>
      <c r="H15" s="1248"/>
      <c r="I15" s="1248"/>
      <c r="J15" s="537">
        <v>35</v>
      </c>
      <c r="K15" s="52"/>
      <c r="L15" s="76"/>
      <c r="M15" s="996"/>
      <c r="O15" s="535">
        <f>($J$12/2000*2.4)+($J$15/35*0.04)+($J$13/2000*0.7)</f>
        <v>0.337</v>
      </c>
      <c r="P15" s="179">
        <f t="shared" si="0"/>
        <v>5.055000000000001</v>
      </c>
      <c r="Q15" s="536" t="e">
        <f>IF(R28=0,0,(Background!$Q$75*($J$27/($J$23+$J$27))/Reports!I22)/$J$27)</f>
        <v>#DIV/0!</v>
      </c>
      <c r="R15" s="515" t="e">
        <f t="shared" si="1"/>
        <v>#DIV/0!</v>
      </c>
      <c r="S15" s="515" t="e">
        <f t="shared" si="2"/>
        <v>#DIV/0!</v>
      </c>
    </row>
    <row r="16" spans="2:19" ht="5.25" customHeight="1">
      <c r="B16" s="49"/>
      <c r="C16" s="51"/>
      <c r="D16" s="51"/>
      <c r="E16" s="49"/>
      <c r="F16" s="217"/>
      <c r="G16" s="218"/>
      <c r="H16" s="219"/>
      <c r="I16" s="220"/>
      <c r="J16" s="220"/>
      <c r="K16" s="52"/>
      <c r="L16" s="76"/>
      <c r="M16" s="1246"/>
      <c r="O16" s="535">
        <f>($J$12/2000*2.7)+($J$15/35*0.05)+($J$13/2000*0.44)</f>
        <v>0.332</v>
      </c>
      <c r="P16" s="179">
        <f t="shared" si="0"/>
        <v>4.98</v>
      </c>
      <c r="Q16" s="536" t="e">
        <f>IF(R29=0,0,(Background!$Q$75*($J$27/($J$23+$J$27))/Reports!I22)/$J$27)</f>
        <v>#DIV/0!</v>
      </c>
      <c r="R16" s="515" t="e">
        <f t="shared" si="1"/>
        <v>#DIV/0!</v>
      </c>
      <c r="S16" s="515" t="e">
        <f t="shared" si="2"/>
        <v>#DIV/0!</v>
      </c>
    </row>
    <row r="17" spans="2:19" s="197" customFormat="1" ht="16.5" customHeight="1" thickBot="1">
      <c r="B17" s="198"/>
      <c r="C17" s="199"/>
      <c r="D17" s="199"/>
      <c r="E17" s="198"/>
      <c r="F17" s="171" t="s">
        <v>328</v>
      </c>
      <c r="G17" s="201" t="s">
        <v>329</v>
      </c>
      <c r="H17" s="201"/>
      <c r="I17" s="201" t="s">
        <v>330</v>
      </c>
      <c r="J17" s="202" t="s">
        <v>331</v>
      </c>
      <c r="K17" s="203"/>
      <c r="L17" s="1000"/>
      <c r="M17" s="1247"/>
      <c r="O17" s="535">
        <f>($J$12/2000*3.5)+($J$15/35*0.055)+($J$13/2000*0.3)</f>
        <v>0.38</v>
      </c>
      <c r="P17" s="179">
        <f t="shared" si="0"/>
        <v>5.7</v>
      </c>
      <c r="Q17" s="536" t="e">
        <f>IF(R30=0,0,(Background!$Q$75*($J$27/($J$23+$J$27))/Reports!I22)/$J$27)</f>
        <v>#DIV/0!</v>
      </c>
      <c r="R17" s="515" t="e">
        <f t="shared" si="1"/>
        <v>#DIV/0!</v>
      </c>
      <c r="S17" s="515" t="e">
        <f t="shared" si="2"/>
        <v>#DIV/0!</v>
      </c>
    </row>
    <row r="18" spans="2:19" ht="16.5" customHeight="1" thickBot="1">
      <c r="B18" s="49"/>
      <c r="C18" s="1138" t="s">
        <v>71</v>
      </c>
      <c r="D18" s="51"/>
      <c r="E18" s="49"/>
      <c r="F18" s="221"/>
      <c r="G18" s="1249" t="s">
        <v>332</v>
      </c>
      <c r="H18" s="1249"/>
      <c r="I18" s="538">
        <v>81</v>
      </c>
      <c r="J18" s="119">
        <v>90</v>
      </c>
      <c r="K18" s="52"/>
      <c r="L18" s="76"/>
      <c r="M18" s="996"/>
      <c r="O18" s="535">
        <f>($J$12/2000*3.9)+($J$15/35*0.06)</f>
        <v>0.372</v>
      </c>
      <c r="P18" s="179">
        <f t="shared" si="0"/>
        <v>5.58</v>
      </c>
      <c r="Q18" s="536" t="e">
        <f>IF(R31=0,0,(Background!$Q$75*($J$27/($J$23+$J$27))/Reports!I22)/$J$27)</f>
        <v>#DIV/0!</v>
      </c>
      <c r="R18" s="515" t="e">
        <f t="shared" si="1"/>
        <v>#DIV/0!</v>
      </c>
      <c r="S18" s="515" t="e">
        <f t="shared" si="2"/>
        <v>#DIV/0!</v>
      </c>
    </row>
    <row r="19" spans="2:19" ht="16.5" customHeight="1" thickBot="1">
      <c r="B19" s="49"/>
      <c r="C19" s="1138"/>
      <c r="D19" s="51"/>
      <c r="E19" s="539"/>
      <c r="F19" s="221"/>
      <c r="G19" s="1251" t="s">
        <v>333</v>
      </c>
      <c r="H19" s="1251"/>
      <c r="I19" s="540">
        <v>14</v>
      </c>
      <c r="J19" s="541">
        <v>0</v>
      </c>
      <c r="K19" s="52"/>
      <c r="L19" s="76"/>
      <c r="M19" s="996"/>
      <c r="O19" s="535">
        <f>($J$12/2000*3.95)+($J$15/35*0.06)</f>
        <v>0.376</v>
      </c>
      <c r="P19" s="179">
        <f t="shared" si="0"/>
        <v>5.64</v>
      </c>
      <c r="Q19" s="536" t="e">
        <f>IF(R32=0,0,(Background!$Q$75*($J$27/($J$23+$J$27))/Reports!I22)/$J$27)</f>
        <v>#DIV/0!</v>
      </c>
      <c r="R19" s="515" t="e">
        <f t="shared" si="1"/>
        <v>#DIV/0!</v>
      </c>
      <c r="S19" s="515" t="e">
        <f t="shared" si="2"/>
        <v>#DIV/0!</v>
      </c>
    </row>
    <row r="20" spans="2:19" ht="16.5" customHeight="1">
      <c r="B20" s="49"/>
      <c r="C20" s="51"/>
      <c r="D20" s="51"/>
      <c r="E20" s="49"/>
      <c r="F20" s="221"/>
      <c r="G20" s="1251" t="s">
        <v>334</v>
      </c>
      <c r="H20" s="1251"/>
      <c r="I20" s="540">
        <v>90</v>
      </c>
      <c r="J20" s="541">
        <v>0</v>
      </c>
      <c r="K20" s="52"/>
      <c r="L20" s="76"/>
      <c r="M20" s="996"/>
      <c r="O20" s="528">
        <f>IF(H31=0,0,H31/I27)</f>
        <v>0.3433333333333333</v>
      </c>
      <c r="P20" s="528">
        <f>SUM(P14:P19)</f>
        <v>30.9</v>
      </c>
      <c r="Q20" s="542" t="e">
        <f>IF(I31=0,0,I31/J27)</f>
        <v>#DIV/0!</v>
      </c>
      <c r="R20" s="543"/>
      <c r="S20" s="528" t="e">
        <f>SUM(S14:S19)</f>
        <v>#DIV/0!</v>
      </c>
    </row>
    <row r="21" spans="2:13" ht="16.5" customHeight="1">
      <c r="B21" s="49"/>
      <c r="C21" s="1252"/>
      <c r="D21" s="51"/>
      <c r="E21" s="49"/>
      <c r="F21" s="221"/>
      <c r="G21" s="1251" t="s">
        <v>335</v>
      </c>
      <c r="H21" s="1251"/>
      <c r="I21" s="540">
        <v>60</v>
      </c>
      <c r="J21" s="541">
        <v>0</v>
      </c>
      <c r="K21" s="52"/>
      <c r="L21" s="76"/>
      <c r="M21" s="996"/>
    </row>
    <row r="22" spans="2:13" ht="16.5" customHeight="1" thickBot="1">
      <c r="B22" s="49"/>
      <c r="C22" s="1252"/>
      <c r="D22" s="51"/>
      <c r="E22" s="49"/>
      <c r="F22" s="221"/>
      <c r="G22" s="1251" t="s">
        <v>336</v>
      </c>
      <c r="H22" s="1251"/>
      <c r="I22" s="540">
        <v>30</v>
      </c>
      <c r="J22" s="541">
        <v>0</v>
      </c>
      <c r="K22" s="52"/>
      <c r="L22" s="76"/>
      <c r="M22" s="997"/>
    </row>
    <row r="23" spans="2:12" ht="16.5" customHeight="1">
      <c r="B23" s="49"/>
      <c r="C23" s="51"/>
      <c r="D23" s="51"/>
      <c r="E23" s="49"/>
      <c r="F23" s="226"/>
      <c r="G23" s="227" t="s">
        <v>337</v>
      </c>
      <c r="H23" s="544">
        <f>I23+J23</f>
        <v>365</v>
      </c>
      <c r="I23" s="545">
        <f>I18+I19+I20+I21+I22</f>
        <v>275</v>
      </c>
      <c r="J23" s="546">
        <f>SUM(J18:J22)</f>
        <v>90</v>
      </c>
      <c r="K23" s="52"/>
      <c r="L23" s="76"/>
    </row>
    <row r="24" spans="2:12" ht="5.25" customHeight="1">
      <c r="B24" s="49"/>
      <c r="C24" s="51"/>
      <c r="D24" s="51"/>
      <c r="E24" s="49"/>
      <c r="F24" s="217"/>
      <c r="G24" s="218"/>
      <c r="H24" s="219"/>
      <c r="I24" s="220"/>
      <c r="J24" s="220"/>
      <c r="K24" s="52"/>
      <c r="L24" s="76"/>
    </row>
    <row r="25" spans="2:13" ht="16.5" customHeight="1">
      <c r="B25" s="49"/>
      <c r="C25" s="1253" t="s">
        <v>338</v>
      </c>
      <c r="D25" s="51"/>
      <c r="E25" s="49"/>
      <c r="F25" s="231" t="s">
        <v>339</v>
      </c>
      <c r="G25" s="201"/>
      <c r="H25" s="201"/>
      <c r="I25" s="201" t="s">
        <v>330</v>
      </c>
      <c r="J25" s="202" t="s">
        <v>331</v>
      </c>
      <c r="K25" s="52"/>
      <c r="L25" s="76"/>
      <c r="M25" s="547"/>
    </row>
    <row r="26" spans="2:12" ht="16.5" customHeight="1">
      <c r="B26" s="49"/>
      <c r="C26" s="1253"/>
      <c r="D26" s="51"/>
      <c r="E26" s="49"/>
      <c r="F26" s="221"/>
      <c r="G26" s="1249" t="s">
        <v>340</v>
      </c>
      <c r="H26" s="1249"/>
      <c r="I26" s="538">
        <v>90</v>
      </c>
      <c r="J26" s="119">
        <v>60</v>
      </c>
      <c r="K26" s="52"/>
      <c r="L26" s="76"/>
    </row>
    <row r="27" spans="2:18" ht="16.5" customHeight="1">
      <c r="B27" s="49"/>
      <c r="C27" s="51"/>
      <c r="D27" s="51"/>
      <c r="E27" s="49"/>
      <c r="F27" s="212"/>
      <c r="G27" s="548" t="s">
        <v>337</v>
      </c>
      <c r="H27" s="549">
        <f>I27+J27</f>
        <v>150</v>
      </c>
      <c r="I27" s="550">
        <f>SUM(Q27:Q32)</f>
        <v>90</v>
      </c>
      <c r="J27" s="551">
        <f>SUM(R27:R32)</f>
        <v>60</v>
      </c>
      <c r="K27" s="52"/>
      <c r="L27" s="76"/>
      <c r="O27" s="1258" t="s">
        <v>341</v>
      </c>
      <c r="P27" s="1258"/>
      <c r="Q27" s="552">
        <f aca="true" t="shared" si="3" ref="Q27:Q32">$I$26/6</f>
        <v>15</v>
      </c>
      <c r="R27" s="553">
        <f aca="true" t="shared" si="4" ref="R27:R32">$J$26/6</f>
        <v>10</v>
      </c>
    </row>
    <row r="28" spans="2:18" ht="5.25" customHeight="1">
      <c r="B28" s="49"/>
      <c r="C28" s="11"/>
      <c r="D28" s="51"/>
      <c r="E28" s="49"/>
      <c r="F28" s="217"/>
      <c r="G28" s="218"/>
      <c r="H28" s="219"/>
      <c r="I28" s="220"/>
      <c r="J28" s="220"/>
      <c r="K28" s="52"/>
      <c r="L28" s="76"/>
      <c r="O28" s="1258" t="s">
        <v>342</v>
      </c>
      <c r="P28" s="1258"/>
      <c r="Q28" s="552">
        <f t="shared" si="3"/>
        <v>15</v>
      </c>
      <c r="R28" s="553">
        <f t="shared" si="4"/>
        <v>10</v>
      </c>
    </row>
    <row r="29" spans="2:18" ht="16.5" customHeight="1">
      <c r="B29" s="49"/>
      <c r="C29" s="1253" t="s">
        <v>343</v>
      </c>
      <c r="D29" s="51"/>
      <c r="E29" s="49"/>
      <c r="F29" s="231" t="s">
        <v>177</v>
      </c>
      <c r="G29" s="201"/>
      <c r="H29" s="201" t="s">
        <v>344</v>
      </c>
      <c r="I29" s="201" t="s">
        <v>345</v>
      </c>
      <c r="J29" s="202" t="s">
        <v>346</v>
      </c>
      <c r="K29" s="52"/>
      <c r="L29" s="76"/>
      <c r="O29" s="1258" t="s">
        <v>347</v>
      </c>
      <c r="P29" s="1258"/>
      <c r="Q29" s="552">
        <f t="shared" si="3"/>
        <v>15</v>
      </c>
      <c r="R29" s="553">
        <f t="shared" si="4"/>
        <v>10</v>
      </c>
    </row>
    <row r="30" spans="2:18" ht="16.5" customHeight="1">
      <c r="B30" s="49"/>
      <c r="C30" s="1253"/>
      <c r="D30" s="51"/>
      <c r="E30" s="49"/>
      <c r="F30" s="221"/>
      <c r="G30" s="222" t="s">
        <v>53</v>
      </c>
      <c r="H30" s="554" t="e">
        <f>P4+P5+P6+P7+P8</f>
        <v>#DIV/0!</v>
      </c>
      <c r="I30" s="555" t="e">
        <f>SUM(R3:R8)</f>
        <v>#DIV/0!</v>
      </c>
      <c r="J30" s="556" t="e">
        <f>S11*((FarmData!L5+FarmData!H5)/2)</f>
        <v>#DIV/0!</v>
      </c>
      <c r="K30" s="52"/>
      <c r="L30" s="76"/>
      <c r="O30" s="1258" t="s">
        <v>348</v>
      </c>
      <c r="P30" s="1258"/>
      <c r="Q30" s="552">
        <f t="shared" si="3"/>
        <v>15</v>
      </c>
      <c r="R30" s="553">
        <f t="shared" si="4"/>
        <v>10</v>
      </c>
    </row>
    <row r="31" spans="2:18" ht="16.5" customHeight="1">
      <c r="B31" s="49"/>
      <c r="C31" s="51"/>
      <c r="D31" s="51"/>
      <c r="E31" s="49"/>
      <c r="F31" s="221"/>
      <c r="G31" s="222" t="s">
        <v>72</v>
      </c>
      <c r="H31" s="557">
        <f>SUM(P14:P19)</f>
        <v>30.9</v>
      </c>
      <c r="I31" s="153" t="e">
        <f>SUM(R14:R19)</f>
        <v>#DIV/0!</v>
      </c>
      <c r="J31" s="240" t="e">
        <f>S20*Snapshot!H97</f>
        <v>#DIV/0!</v>
      </c>
      <c r="K31" s="52"/>
      <c r="L31" s="76"/>
      <c r="O31" s="1258" t="s">
        <v>349</v>
      </c>
      <c r="P31" s="1258"/>
      <c r="Q31" s="552">
        <f t="shared" si="3"/>
        <v>15</v>
      </c>
      <c r="R31" s="553">
        <f t="shared" si="4"/>
        <v>10</v>
      </c>
    </row>
    <row r="32" spans="2:18" ht="16.5" customHeight="1">
      <c r="B32" s="49"/>
      <c r="C32" s="51"/>
      <c r="D32" s="51"/>
      <c r="E32" s="72"/>
      <c r="F32" s="226"/>
      <c r="G32" s="558" t="s">
        <v>350</v>
      </c>
      <c r="H32" s="559"/>
      <c r="I32" s="560"/>
      <c r="J32" s="561" t="e">
        <f>SUM(J30:J31)</f>
        <v>#DIV/0!</v>
      </c>
      <c r="K32" s="90"/>
      <c r="L32" s="76"/>
      <c r="O32" s="1258" t="s">
        <v>351</v>
      </c>
      <c r="P32" s="1258"/>
      <c r="Q32" s="552">
        <f t="shared" si="3"/>
        <v>15</v>
      </c>
      <c r="R32" s="553">
        <f t="shared" si="4"/>
        <v>10</v>
      </c>
    </row>
    <row r="33" spans="2:12" ht="36" customHeight="1">
      <c r="B33" s="49"/>
      <c r="C33" s="51"/>
      <c r="D33" s="51"/>
      <c r="E33" s="51"/>
      <c r="F33" s="51"/>
      <c r="G33" s="51"/>
      <c r="H33" s="51"/>
      <c r="I33" s="51"/>
      <c r="J33" s="51"/>
      <c r="K33" s="52"/>
      <c r="L33" s="76"/>
    </row>
    <row r="34" spans="2:17" ht="25.5" customHeight="1">
      <c r="B34" s="49"/>
      <c r="C34" s="51"/>
      <c r="D34" s="51"/>
      <c r="E34" s="1259" t="s">
        <v>352</v>
      </c>
      <c r="F34" s="1259"/>
      <c r="G34" s="1259"/>
      <c r="H34" s="1259"/>
      <c r="I34" s="1259"/>
      <c r="J34" s="516">
        <f>Welcome!H25</f>
        <v>2011</v>
      </c>
      <c r="K34" s="52"/>
      <c r="L34" s="76"/>
      <c r="Q34" s="402"/>
    </row>
    <row r="35" spans="2:19" ht="5.25" customHeight="1" thickBot="1">
      <c r="B35" s="49"/>
      <c r="C35" s="51"/>
      <c r="D35" s="51"/>
      <c r="E35" s="51"/>
      <c r="F35" s="51"/>
      <c r="G35" s="51"/>
      <c r="H35" s="51"/>
      <c r="I35" s="51"/>
      <c r="J35" s="51"/>
      <c r="K35" s="52"/>
      <c r="L35" s="76"/>
      <c r="Q35" s="402"/>
      <c r="R35" s="402"/>
      <c r="S35" s="402"/>
    </row>
    <row r="36" spans="2:19" ht="16.5" customHeight="1">
      <c r="B36" s="49"/>
      <c r="C36" s="51"/>
      <c r="D36" s="51"/>
      <c r="E36" s="200" t="s">
        <v>353</v>
      </c>
      <c r="F36" s="171" t="s">
        <v>354</v>
      </c>
      <c r="G36" s="201" t="s">
        <v>141</v>
      </c>
      <c r="H36" s="201"/>
      <c r="I36" s="201" t="s">
        <v>187</v>
      </c>
      <c r="J36" s="202" t="s">
        <v>355</v>
      </c>
      <c r="K36" s="52"/>
      <c r="L36" s="76"/>
      <c r="M36" s="1001" t="s">
        <v>684</v>
      </c>
      <c r="Q36" s="562"/>
      <c r="R36" s="563" t="s">
        <v>187</v>
      </c>
      <c r="S36" s="563" t="s">
        <v>355</v>
      </c>
    </row>
    <row r="37" spans="2:13" ht="16.5" customHeight="1">
      <c r="B37" s="49"/>
      <c r="C37" s="51"/>
      <c r="D37" s="51"/>
      <c r="E37" s="49"/>
      <c r="F37" s="221"/>
      <c r="G37" s="1260" t="s">
        <v>356</v>
      </c>
      <c r="H37" s="1260"/>
      <c r="I37" s="564"/>
      <c r="J37" s="110">
        <v>200</v>
      </c>
      <c r="K37" s="52"/>
      <c r="L37" s="76"/>
      <c r="M37" s="996"/>
    </row>
    <row r="38" spans="2:19" ht="16.5" customHeight="1">
      <c r="B38" s="49"/>
      <c r="C38" s="51"/>
      <c r="D38" s="51"/>
      <c r="E38" s="49"/>
      <c r="F38" s="221"/>
      <c r="G38" s="1251" t="s">
        <v>357</v>
      </c>
      <c r="H38" s="1251"/>
      <c r="I38" s="565"/>
      <c r="J38" s="112">
        <v>110</v>
      </c>
      <c r="K38" s="52"/>
      <c r="L38" s="76"/>
      <c r="M38" s="996"/>
      <c r="P38" s="566" t="s">
        <v>358</v>
      </c>
      <c r="Q38" s="567" t="s">
        <v>359</v>
      </c>
      <c r="R38" s="568">
        <v>0.7</v>
      </c>
      <c r="S38" s="568">
        <v>0.7</v>
      </c>
    </row>
    <row r="39" spans="2:19" ht="16.5" customHeight="1">
      <c r="B39" s="49"/>
      <c r="C39" s="51"/>
      <c r="D39" s="51"/>
      <c r="E39" s="49"/>
      <c r="F39" s="221"/>
      <c r="G39" s="1261" t="s">
        <v>360</v>
      </c>
      <c r="H39" s="1261"/>
      <c r="I39" s="569"/>
      <c r="J39" s="570">
        <v>12</v>
      </c>
      <c r="K39" s="52"/>
      <c r="L39" s="76"/>
      <c r="M39" s="996"/>
      <c r="P39" s="571">
        <v>122</v>
      </c>
      <c r="Q39" s="567" t="s">
        <v>243</v>
      </c>
      <c r="R39" s="572">
        <f>FarmData!H34</f>
        <v>18</v>
      </c>
      <c r="S39" s="572">
        <f>FarmData!H34</f>
        <v>18</v>
      </c>
    </row>
    <row r="40" spans="2:23" ht="16.5" customHeight="1">
      <c r="B40" s="49"/>
      <c r="C40" s="51"/>
      <c r="D40" s="51"/>
      <c r="E40" s="49"/>
      <c r="F40" s="221"/>
      <c r="G40" s="1251" t="s">
        <v>361</v>
      </c>
      <c r="H40" s="1251"/>
      <c r="I40" s="569"/>
      <c r="J40" s="570">
        <v>30</v>
      </c>
      <c r="K40" s="573"/>
      <c r="L40" s="82"/>
      <c r="M40" s="996"/>
      <c r="N40" s="402"/>
      <c r="P40" s="96">
        <v>97.6</v>
      </c>
      <c r="Q40" s="567" t="s">
        <v>362</v>
      </c>
      <c r="R40" s="567">
        <f>I47*R38*7</f>
        <v>0</v>
      </c>
      <c r="S40" s="567">
        <f>J47*S38*7</f>
        <v>8.819999999999999</v>
      </c>
      <c r="T40" s="402"/>
      <c r="U40" s="402"/>
      <c r="V40" s="402"/>
      <c r="W40" s="43"/>
    </row>
    <row r="41" spans="2:23" ht="16.5" customHeight="1">
      <c r="B41" s="49"/>
      <c r="C41" s="51"/>
      <c r="D41" s="51"/>
      <c r="E41" s="49"/>
      <c r="F41" s="221"/>
      <c r="G41" s="1251" t="s">
        <v>363</v>
      </c>
      <c r="H41" s="1251"/>
      <c r="I41" s="565"/>
      <c r="J41" s="112">
        <v>150</v>
      </c>
      <c r="K41" s="573"/>
      <c r="L41" s="82"/>
      <c r="M41" s="998"/>
      <c r="N41" s="402"/>
      <c r="P41" s="96">
        <v>300</v>
      </c>
      <c r="Q41" s="567" t="s">
        <v>364</v>
      </c>
      <c r="R41" s="574">
        <f>IF(I37*I40=0,0,I37/I40)</f>
        <v>0</v>
      </c>
      <c r="S41" s="574">
        <f>IF(J37*J40=0,0,J37/J40)</f>
        <v>6.666666666666667</v>
      </c>
      <c r="T41" s="402"/>
      <c r="U41" s="402"/>
      <c r="V41" s="402"/>
      <c r="W41" s="43"/>
    </row>
    <row r="42" spans="2:23" ht="16.5" customHeight="1">
      <c r="B42" s="49"/>
      <c r="C42" s="51"/>
      <c r="D42" s="51"/>
      <c r="E42" s="49"/>
      <c r="F42" s="221"/>
      <c r="G42" s="1251" t="s">
        <v>365</v>
      </c>
      <c r="H42" s="1251"/>
      <c r="I42" s="149"/>
      <c r="J42" s="95">
        <v>0.4</v>
      </c>
      <c r="K42" s="573"/>
      <c r="L42" s="82"/>
      <c r="M42" s="1002"/>
      <c r="N42" s="402"/>
      <c r="P42" s="96">
        <v>50</v>
      </c>
      <c r="Q42" s="567" t="s">
        <v>366</v>
      </c>
      <c r="R42" s="572">
        <f>I44*R39</f>
        <v>0</v>
      </c>
      <c r="S42" s="572">
        <f>J44*S39</f>
        <v>90</v>
      </c>
      <c r="T42" s="402"/>
      <c r="U42" s="402"/>
      <c r="V42" s="402"/>
      <c r="W42" s="43"/>
    </row>
    <row r="43" spans="2:23" ht="16.5" customHeight="1">
      <c r="B43" s="49"/>
      <c r="C43" s="51"/>
      <c r="D43" s="51"/>
      <c r="E43" s="49"/>
      <c r="F43" s="221"/>
      <c r="G43" s="1251" t="s">
        <v>367</v>
      </c>
      <c r="H43" s="1251"/>
      <c r="I43" s="149"/>
      <c r="J43" s="95">
        <v>1.77</v>
      </c>
      <c r="K43" s="573"/>
      <c r="L43" s="82"/>
      <c r="M43" s="996"/>
      <c r="N43" s="402"/>
      <c r="P43" s="96">
        <v>35</v>
      </c>
      <c r="Q43" s="567" t="s">
        <v>368</v>
      </c>
      <c r="R43" s="572">
        <f>I42*I41*2</f>
        <v>0</v>
      </c>
      <c r="S43" s="572">
        <f>J42*J41*2</f>
        <v>120</v>
      </c>
      <c r="T43" s="402"/>
      <c r="U43" s="402"/>
      <c r="V43" s="402"/>
      <c r="W43" s="43"/>
    </row>
    <row r="44" spans="2:23" ht="16.5" customHeight="1" thickBot="1">
      <c r="B44" s="49"/>
      <c r="C44" s="51"/>
      <c r="D44" s="51"/>
      <c r="E44" s="49"/>
      <c r="F44" s="226"/>
      <c r="G44" s="1248" t="s">
        <v>369</v>
      </c>
      <c r="H44" s="1248"/>
      <c r="I44" s="575"/>
      <c r="J44" s="576">
        <v>5</v>
      </c>
      <c r="K44" s="573"/>
      <c r="L44" s="82"/>
      <c r="M44" s="1003"/>
      <c r="N44" s="402"/>
      <c r="Q44" s="567" t="s">
        <v>370</v>
      </c>
      <c r="R44" s="572">
        <f>R42+R43</f>
        <v>0</v>
      </c>
      <c r="S44" s="572">
        <f>S42+S43</f>
        <v>210</v>
      </c>
      <c r="T44" s="402"/>
      <c r="U44" s="402"/>
      <c r="V44" s="402"/>
      <c r="W44" s="43"/>
    </row>
    <row r="45" spans="2:23" ht="5.25" customHeight="1">
      <c r="B45" s="49"/>
      <c r="C45" s="51"/>
      <c r="D45" s="51"/>
      <c r="E45" s="49"/>
      <c r="F45" s="217"/>
      <c r="G45" s="577"/>
      <c r="H45" s="577"/>
      <c r="I45" s="578"/>
      <c r="J45" s="579"/>
      <c r="K45" s="573"/>
      <c r="L45" s="82"/>
      <c r="M45" s="1004"/>
      <c r="N45" s="402"/>
      <c r="Q45" s="580" t="s">
        <v>371</v>
      </c>
      <c r="R45" s="581">
        <f>R44*R41</f>
        <v>0</v>
      </c>
      <c r="S45" s="581">
        <f>S44*S41</f>
        <v>1400</v>
      </c>
      <c r="T45" s="402"/>
      <c r="U45" s="402"/>
      <c r="V45" s="402"/>
      <c r="W45" s="43"/>
    </row>
    <row r="46" spans="2:23" ht="16.5" customHeight="1">
      <c r="B46" s="49"/>
      <c r="C46" s="51"/>
      <c r="D46" s="51"/>
      <c r="E46" s="49"/>
      <c r="F46" s="171" t="s">
        <v>372</v>
      </c>
      <c r="G46" s="201"/>
      <c r="H46" s="201"/>
      <c r="I46" s="201"/>
      <c r="J46" s="202"/>
      <c r="K46" s="573"/>
      <c r="L46" s="82"/>
      <c r="M46" s="1005"/>
      <c r="N46" s="402"/>
      <c r="O46" s="402"/>
      <c r="P46" s="402"/>
      <c r="T46" s="402"/>
      <c r="U46" s="402"/>
      <c r="V46" s="402"/>
      <c r="W46" s="43"/>
    </row>
    <row r="47" spans="2:23" ht="16.5" customHeight="1">
      <c r="B47" s="49"/>
      <c r="C47" s="51"/>
      <c r="D47" s="51"/>
      <c r="E47" s="49"/>
      <c r="F47" s="221"/>
      <c r="G47" s="1249" t="s">
        <v>373</v>
      </c>
      <c r="H47" s="1249"/>
      <c r="I47" s="582">
        <f>IF(I37*I40=0,0,I39/(I37/I40))</f>
        <v>0</v>
      </c>
      <c r="J47" s="583">
        <f>IF(J37*J40=0,0,J39/(J37/J40))</f>
        <v>1.7999999999999998</v>
      </c>
      <c r="K47" s="573"/>
      <c r="L47" s="82"/>
      <c r="M47" s="1005"/>
      <c r="N47" s="402"/>
      <c r="O47" s="402"/>
      <c r="P47" s="402"/>
      <c r="T47" s="402"/>
      <c r="U47" s="402"/>
      <c r="V47" s="402"/>
      <c r="W47" s="43"/>
    </row>
    <row r="48" spans="2:23" ht="16.5" customHeight="1">
      <c r="B48" s="49"/>
      <c r="C48" s="51"/>
      <c r="D48" s="51"/>
      <c r="E48" s="49"/>
      <c r="F48" s="221"/>
      <c r="G48" s="1251" t="s">
        <v>374</v>
      </c>
      <c r="H48" s="1251"/>
      <c r="I48" s="584">
        <f>((I38+2)+(I38+2-R40))/2</f>
        <v>2</v>
      </c>
      <c r="J48" s="585">
        <f>((J38+2)+(J38+2-S40))/2</f>
        <v>107.59</v>
      </c>
      <c r="K48" s="573"/>
      <c r="L48" s="82"/>
      <c r="M48" s="402"/>
      <c r="N48" s="402"/>
      <c r="O48" s="402"/>
      <c r="P48" s="402"/>
      <c r="T48" s="402"/>
      <c r="U48" s="402"/>
      <c r="V48" s="402"/>
      <c r="W48" s="43"/>
    </row>
    <row r="49" spans="2:23" ht="16.5" customHeight="1">
      <c r="B49" s="49"/>
      <c r="C49" s="51"/>
      <c r="D49" s="51"/>
      <c r="E49" s="49"/>
      <c r="F49" s="226"/>
      <c r="G49" s="1248" t="s">
        <v>375</v>
      </c>
      <c r="H49" s="1248"/>
      <c r="I49" s="586">
        <f>I43*I48</f>
        <v>0</v>
      </c>
      <c r="J49" s="587">
        <f>J43*J48</f>
        <v>190.4343</v>
      </c>
      <c r="K49" s="573"/>
      <c r="L49" s="82"/>
      <c r="M49" s="402"/>
      <c r="N49" s="402"/>
      <c r="O49" s="402"/>
      <c r="P49" s="402"/>
      <c r="T49" s="402"/>
      <c r="U49" s="402"/>
      <c r="V49" s="402"/>
      <c r="W49" s="43"/>
    </row>
    <row r="50" spans="2:23" ht="8.25" customHeight="1">
      <c r="B50" s="49"/>
      <c r="C50" s="51"/>
      <c r="D50" s="51"/>
      <c r="E50" s="49"/>
      <c r="F50" s="51"/>
      <c r="G50" s="51"/>
      <c r="H50" s="588"/>
      <c r="I50" s="588"/>
      <c r="J50" s="588"/>
      <c r="K50" s="573"/>
      <c r="L50" s="82"/>
      <c r="M50" s="402"/>
      <c r="N50" s="402"/>
      <c r="O50" s="402"/>
      <c r="P50" s="402"/>
      <c r="T50" s="402"/>
      <c r="U50" s="402"/>
      <c r="V50" s="402"/>
      <c r="W50" s="43"/>
    </row>
    <row r="51" spans="2:23" ht="16.5" customHeight="1">
      <c r="B51" s="49"/>
      <c r="C51" s="51"/>
      <c r="D51" s="51"/>
      <c r="E51" s="90"/>
      <c r="F51" s="171" t="s">
        <v>206</v>
      </c>
      <c r="G51" s="201" t="s">
        <v>141</v>
      </c>
      <c r="H51" s="201"/>
      <c r="I51" s="201"/>
      <c r="J51" s="202"/>
      <c r="K51" s="573"/>
      <c r="L51" s="82"/>
      <c r="M51" s="402"/>
      <c r="N51" s="402"/>
      <c r="O51" s="402"/>
      <c r="P51" s="402"/>
      <c r="T51" s="402"/>
      <c r="U51" s="402"/>
      <c r="V51" s="402"/>
      <c r="W51" s="43"/>
    </row>
    <row r="52" spans="2:23" ht="16.5" customHeight="1">
      <c r="B52" s="49"/>
      <c r="C52" s="51"/>
      <c r="D52" s="51"/>
      <c r="E52" s="49"/>
      <c r="F52" s="221"/>
      <c r="G52" s="1249" t="s">
        <v>376</v>
      </c>
      <c r="H52" s="1249"/>
      <c r="I52" s="555" t="e">
        <f>R45/I37</f>
        <v>#DIV/0!</v>
      </c>
      <c r="J52" s="589">
        <f>S45/J37</f>
        <v>7</v>
      </c>
      <c r="K52" s="573"/>
      <c r="L52" s="82"/>
      <c r="M52" s="402"/>
      <c r="N52" s="402"/>
      <c r="O52" s="402"/>
      <c r="P52" s="402"/>
      <c r="T52" s="402"/>
      <c r="U52" s="402"/>
      <c r="V52" s="402"/>
      <c r="W52" s="43"/>
    </row>
    <row r="53" spans="2:12" ht="16.5" customHeight="1">
      <c r="B53" s="49"/>
      <c r="C53" s="51"/>
      <c r="D53" s="51"/>
      <c r="E53" s="590"/>
      <c r="F53" s="226"/>
      <c r="G53" s="1248" t="s">
        <v>377</v>
      </c>
      <c r="H53" s="1248"/>
      <c r="I53" s="591" t="e">
        <f>I49-I52</f>
        <v>#DIV/0!</v>
      </c>
      <c r="J53" s="592">
        <f>J49-J52</f>
        <v>183.4343</v>
      </c>
      <c r="K53" s="52"/>
      <c r="L53" s="76"/>
    </row>
    <row r="54" spans="2:12" ht="8.25" customHeight="1">
      <c r="B54" s="49"/>
      <c r="C54" s="51"/>
      <c r="D54" s="51"/>
      <c r="E54" s="47"/>
      <c r="F54" s="51"/>
      <c r="G54" s="51"/>
      <c r="H54" s="51"/>
      <c r="I54" s="51"/>
      <c r="J54" s="51"/>
      <c r="K54" s="52"/>
      <c r="L54" s="76"/>
    </row>
    <row r="55" spans="2:12" ht="31.5" customHeight="1">
      <c r="B55" s="49"/>
      <c r="C55" s="51"/>
      <c r="D55" s="51"/>
      <c r="E55" s="74"/>
      <c r="F55" s="74"/>
      <c r="G55" s="74"/>
      <c r="H55" s="74"/>
      <c r="I55" s="74"/>
      <c r="J55" s="74"/>
      <c r="K55" s="52"/>
      <c r="L55" s="76"/>
    </row>
    <row r="56" spans="2:14" ht="25.5" customHeight="1">
      <c r="B56" s="49"/>
      <c r="C56" s="51"/>
      <c r="D56" s="51"/>
      <c r="E56" s="1250" t="s">
        <v>378</v>
      </c>
      <c r="F56" s="1250"/>
      <c r="G56" s="1250"/>
      <c r="H56" s="1250"/>
      <c r="I56" s="1250"/>
      <c r="J56" s="516">
        <f>Welcome!H25</f>
        <v>2011</v>
      </c>
      <c r="K56" s="52"/>
      <c r="L56" s="76"/>
      <c r="N56" s="84"/>
    </row>
    <row r="57" spans="2:14" ht="5.25" customHeight="1" thickBot="1">
      <c r="B57" s="49"/>
      <c r="C57" s="51"/>
      <c r="D57" s="51"/>
      <c r="E57" s="51"/>
      <c r="F57" s="51"/>
      <c r="G57" s="51"/>
      <c r="H57" s="51"/>
      <c r="I57" s="51"/>
      <c r="J57" s="51"/>
      <c r="K57" s="52"/>
      <c r="L57" s="76"/>
      <c r="N57" s="84"/>
    </row>
    <row r="58" spans="2:14" ht="16.5" customHeight="1">
      <c r="B58" s="49"/>
      <c r="C58" s="51"/>
      <c r="D58" s="51"/>
      <c r="E58" s="200" t="s">
        <v>379</v>
      </c>
      <c r="F58" s="1254" t="s">
        <v>380</v>
      </c>
      <c r="G58" s="1255"/>
      <c r="H58" s="1043" t="s">
        <v>694</v>
      </c>
      <c r="I58" s="1043" t="s">
        <v>695</v>
      </c>
      <c r="J58" s="202" t="s">
        <v>549</v>
      </c>
      <c r="K58" s="52"/>
      <c r="L58" s="76"/>
      <c r="M58" s="1001" t="s">
        <v>684</v>
      </c>
      <c r="N58" s="84"/>
    </row>
    <row r="59" spans="2:16" ht="16.5" customHeight="1">
      <c r="B59" s="49"/>
      <c r="C59" s="51"/>
      <c r="D59" s="51"/>
      <c r="E59" s="603" t="s">
        <v>381</v>
      </c>
      <c r="F59" s="1256"/>
      <c r="G59" s="1257"/>
      <c r="H59" s="1046"/>
      <c r="I59" s="1046"/>
      <c r="J59" s="593">
        <f>I59*H59</f>
        <v>0</v>
      </c>
      <c r="K59" s="52"/>
      <c r="L59" s="76"/>
      <c r="M59" s="996"/>
      <c r="N59" s="84"/>
      <c r="O59" s="41">
        <f aca="true" t="shared" si="5" ref="O59:O70">IF(G59=0,0,IF(H59=0,0,H59-G59+1))</f>
        <v>0</v>
      </c>
      <c r="P59" s="41">
        <f aca="true" t="shared" si="6" ref="P59:P70">O59*I59</f>
        <v>0</v>
      </c>
    </row>
    <row r="60" spans="2:18" ht="16.5" customHeight="1" thickBot="1">
      <c r="B60" s="49"/>
      <c r="C60" s="51"/>
      <c r="D60" s="51"/>
      <c r="E60" s="49"/>
      <c r="F60" s="1242"/>
      <c r="G60" s="1245"/>
      <c r="H60" s="569"/>
      <c r="I60" s="569"/>
      <c r="J60" s="594">
        <f aca="true" t="shared" si="7" ref="J60:J70">I60*H60</f>
        <v>0</v>
      </c>
      <c r="K60" s="52"/>
      <c r="L60" s="76"/>
      <c r="M60" s="996"/>
      <c r="N60" s="84"/>
      <c r="O60" s="41">
        <f t="shared" si="5"/>
        <v>0</v>
      </c>
      <c r="P60" s="41">
        <f t="shared" si="6"/>
        <v>0</v>
      </c>
      <c r="R60" s="595"/>
    </row>
    <row r="61" spans="2:16" ht="16.5" customHeight="1" thickBot="1">
      <c r="B61" s="49"/>
      <c r="C61" s="1138" t="s">
        <v>45</v>
      </c>
      <c r="D61" s="51"/>
      <c r="E61" s="49"/>
      <c r="F61" s="1242"/>
      <c r="G61" s="1243"/>
      <c r="H61" s="569"/>
      <c r="I61" s="569"/>
      <c r="J61" s="594">
        <f t="shared" si="7"/>
        <v>0</v>
      </c>
      <c r="K61" s="52"/>
      <c r="L61" s="76"/>
      <c r="M61" s="996"/>
      <c r="N61" s="84"/>
      <c r="O61" s="41">
        <f t="shared" si="5"/>
        <v>0</v>
      </c>
      <c r="P61" s="41">
        <f t="shared" si="6"/>
        <v>0</v>
      </c>
    </row>
    <row r="62" spans="2:16" ht="16.5" customHeight="1" thickBot="1">
      <c r="B62" s="49"/>
      <c r="C62" s="1138"/>
      <c r="D62" s="51"/>
      <c r="E62" s="49"/>
      <c r="F62" s="1242"/>
      <c r="G62" s="1243"/>
      <c r="H62" s="569"/>
      <c r="I62" s="569"/>
      <c r="J62" s="594">
        <f t="shared" si="7"/>
        <v>0</v>
      </c>
      <c r="K62" s="573"/>
      <c r="L62" s="82"/>
      <c r="M62" s="996"/>
      <c r="N62" s="84"/>
      <c r="O62" s="41">
        <f t="shared" si="5"/>
        <v>0</v>
      </c>
      <c r="P62" s="41">
        <f t="shared" si="6"/>
        <v>0</v>
      </c>
    </row>
    <row r="63" spans="2:16" ht="16.5" customHeight="1">
      <c r="B63" s="49"/>
      <c r="C63" s="51"/>
      <c r="D63" s="51"/>
      <c r="E63" s="49"/>
      <c r="F63" s="1242"/>
      <c r="G63" s="1243"/>
      <c r="H63" s="569"/>
      <c r="I63" s="569"/>
      <c r="J63" s="594">
        <f t="shared" si="7"/>
        <v>0</v>
      </c>
      <c r="K63" s="573"/>
      <c r="L63" s="82"/>
      <c r="M63" s="998"/>
      <c r="N63" s="84"/>
      <c r="O63" s="41">
        <f t="shared" si="5"/>
        <v>0</v>
      </c>
      <c r="P63" s="41">
        <f t="shared" si="6"/>
        <v>0</v>
      </c>
    </row>
    <row r="64" spans="2:16" ht="16.5" customHeight="1">
      <c r="B64" s="49"/>
      <c r="C64" s="51"/>
      <c r="D64" s="51"/>
      <c r="E64" s="49"/>
      <c r="F64" s="1242"/>
      <c r="G64" s="1243"/>
      <c r="H64" s="569"/>
      <c r="I64" s="569"/>
      <c r="J64" s="594">
        <f t="shared" si="7"/>
        <v>0</v>
      </c>
      <c r="K64" s="573"/>
      <c r="L64" s="82"/>
      <c r="M64" s="1002"/>
      <c r="N64" s="84"/>
      <c r="O64" s="41">
        <f t="shared" si="5"/>
        <v>0</v>
      </c>
      <c r="P64" s="41">
        <f t="shared" si="6"/>
        <v>0</v>
      </c>
    </row>
    <row r="65" spans="2:16" ht="16.5" customHeight="1">
      <c r="B65" s="49"/>
      <c r="C65" s="51"/>
      <c r="D65" s="51"/>
      <c r="E65" s="49"/>
      <c r="F65" s="1242"/>
      <c r="G65" s="1243"/>
      <c r="H65" s="569"/>
      <c r="I65" s="569"/>
      <c r="J65" s="594">
        <f t="shared" si="7"/>
        <v>0</v>
      </c>
      <c r="K65" s="573"/>
      <c r="L65" s="82"/>
      <c r="M65" s="996"/>
      <c r="N65" s="84"/>
      <c r="O65" s="41">
        <f t="shared" si="5"/>
        <v>0</v>
      </c>
      <c r="P65" s="41">
        <f t="shared" si="6"/>
        <v>0</v>
      </c>
    </row>
    <row r="66" spans="2:16" ht="16.5" customHeight="1">
      <c r="B66" s="49"/>
      <c r="C66" s="51"/>
      <c r="D66" s="51"/>
      <c r="E66" s="49"/>
      <c r="F66" s="1242"/>
      <c r="G66" s="1243"/>
      <c r="H66" s="569"/>
      <c r="I66" s="569"/>
      <c r="J66" s="594">
        <f t="shared" si="7"/>
        <v>0</v>
      </c>
      <c r="K66" s="573"/>
      <c r="L66" s="82"/>
      <c r="M66" s="1003"/>
      <c r="N66" s="84"/>
      <c r="O66" s="41">
        <f t="shared" si="5"/>
        <v>0</v>
      </c>
      <c r="P66" s="41">
        <f t="shared" si="6"/>
        <v>0</v>
      </c>
    </row>
    <row r="67" spans="2:16" ht="16.5" customHeight="1">
      <c r="B67" s="49"/>
      <c r="C67" s="51"/>
      <c r="D67" s="51"/>
      <c r="E67" s="49"/>
      <c r="F67" s="1242"/>
      <c r="G67" s="1243"/>
      <c r="H67" s="569"/>
      <c r="I67" s="569"/>
      <c r="J67" s="594">
        <f t="shared" si="7"/>
        <v>0</v>
      </c>
      <c r="K67" s="573"/>
      <c r="L67" s="82"/>
      <c r="M67" s="998"/>
      <c r="N67" s="84"/>
      <c r="O67" s="41">
        <f t="shared" si="5"/>
        <v>0</v>
      </c>
      <c r="P67" s="41">
        <f t="shared" si="6"/>
        <v>0</v>
      </c>
    </row>
    <row r="68" spans="2:16" ht="16.5" customHeight="1">
      <c r="B68" s="49"/>
      <c r="C68" s="51"/>
      <c r="D68" s="51"/>
      <c r="E68" s="49"/>
      <c r="F68" s="1242"/>
      <c r="G68" s="1243"/>
      <c r="H68" s="569"/>
      <c r="I68" s="569"/>
      <c r="J68" s="594">
        <f t="shared" si="7"/>
        <v>0</v>
      </c>
      <c r="K68" s="573"/>
      <c r="L68" s="82"/>
      <c r="M68" s="1002"/>
      <c r="N68" s="84"/>
      <c r="O68" s="41">
        <f t="shared" si="5"/>
        <v>0</v>
      </c>
      <c r="P68" s="41">
        <f t="shared" si="6"/>
        <v>0</v>
      </c>
    </row>
    <row r="69" spans="2:16" ht="16.5" customHeight="1">
      <c r="B69" s="49"/>
      <c r="C69" s="51"/>
      <c r="D69" s="51"/>
      <c r="E69" s="49"/>
      <c r="F69" s="1244"/>
      <c r="G69" s="1243"/>
      <c r="H69" s="569"/>
      <c r="I69" s="569"/>
      <c r="J69" s="594">
        <f t="shared" si="7"/>
        <v>0</v>
      </c>
      <c r="K69" s="573"/>
      <c r="L69" s="82"/>
      <c r="M69" s="996"/>
      <c r="N69" s="84"/>
      <c r="O69" s="41">
        <f t="shared" si="5"/>
        <v>0</v>
      </c>
      <c r="P69" s="41">
        <f t="shared" si="6"/>
        <v>0</v>
      </c>
    </row>
    <row r="70" spans="2:16" ht="16.5" customHeight="1" thickBot="1">
      <c r="B70" s="49"/>
      <c r="C70" s="51"/>
      <c r="D70" s="51"/>
      <c r="E70" s="49"/>
      <c r="F70" s="1242"/>
      <c r="G70" s="1245"/>
      <c r="H70" s="569"/>
      <c r="I70" s="569"/>
      <c r="J70" s="1042">
        <f t="shared" si="7"/>
        <v>0</v>
      </c>
      <c r="K70" s="573"/>
      <c r="L70" s="82"/>
      <c r="M70" s="997"/>
      <c r="N70" s="84"/>
      <c r="O70" s="41">
        <f t="shared" si="5"/>
        <v>0</v>
      </c>
      <c r="P70" s="41">
        <f t="shared" si="6"/>
        <v>0</v>
      </c>
    </row>
    <row r="71" spans="2:14" ht="5.25" customHeight="1">
      <c r="B71" s="49"/>
      <c r="C71" s="51"/>
      <c r="D71" s="51"/>
      <c r="E71" s="49"/>
      <c r="F71" s="1041"/>
      <c r="G71" s="1041"/>
      <c r="H71" s="1044"/>
      <c r="I71" s="1045"/>
      <c r="J71" s="502"/>
      <c r="K71" s="573"/>
      <c r="L71" s="82"/>
      <c r="N71" s="84"/>
    </row>
    <row r="72" spans="2:14" ht="16.5" customHeight="1">
      <c r="B72" s="49"/>
      <c r="C72" s="51"/>
      <c r="D72" s="51"/>
      <c r="E72" s="49"/>
      <c r="F72" s="596" t="s">
        <v>382</v>
      </c>
      <c r="G72" s="597"/>
      <c r="H72" s="598"/>
      <c r="I72" s="6"/>
      <c r="J72" s="599">
        <f>SUM(H59:H70)</f>
        <v>0</v>
      </c>
      <c r="K72" s="573"/>
      <c r="L72" s="82"/>
      <c r="N72" s="84"/>
    </row>
    <row r="73" spans="2:14" ht="16.5" customHeight="1">
      <c r="B73" s="49"/>
      <c r="C73" s="51"/>
      <c r="D73" s="51"/>
      <c r="E73" s="49"/>
      <c r="F73" s="600" t="s">
        <v>383</v>
      </c>
      <c r="G73" s="549"/>
      <c r="H73" s="601"/>
      <c r="I73" s="38"/>
      <c r="J73" s="602">
        <f>SUM(J59:J70)</f>
        <v>0</v>
      </c>
      <c r="K73" s="573"/>
      <c r="L73" s="82"/>
      <c r="N73" s="84"/>
    </row>
    <row r="74" spans="2:14" ht="5.25" customHeight="1">
      <c r="B74" s="49"/>
      <c r="C74" s="51"/>
      <c r="D74" s="51"/>
      <c r="E74" s="49"/>
      <c r="F74" s="217"/>
      <c r="G74" s="577"/>
      <c r="H74" s="577"/>
      <c r="I74" s="598"/>
      <c r="J74" s="579"/>
      <c r="K74" s="573"/>
      <c r="L74" s="82"/>
      <c r="N74" s="84"/>
    </row>
    <row r="75" spans="2:14" ht="16.5" customHeight="1">
      <c r="B75" s="49"/>
      <c r="C75" s="51"/>
      <c r="D75" s="51"/>
      <c r="E75" s="92" t="s">
        <v>384</v>
      </c>
      <c r="F75" s="171" t="s">
        <v>385</v>
      </c>
      <c r="G75" s="201" t="s">
        <v>386</v>
      </c>
      <c r="H75" s="201" t="s">
        <v>385</v>
      </c>
      <c r="I75" s="201" t="s">
        <v>90</v>
      </c>
      <c r="J75" s="202" t="s">
        <v>387</v>
      </c>
      <c r="K75" s="573"/>
      <c r="L75" s="82"/>
      <c r="N75" s="84"/>
    </row>
    <row r="76" spans="2:14" ht="16.5" customHeight="1">
      <c r="B76" s="49"/>
      <c r="C76" s="51"/>
      <c r="D76" s="51"/>
      <c r="E76" s="603" t="s">
        <v>388</v>
      </c>
      <c r="F76" s="204"/>
      <c r="G76" s="604"/>
      <c r="H76" s="605"/>
      <c r="I76" s="605"/>
      <c r="J76" s="606">
        <f>IF(I76=0,0,H76/I76)</f>
        <v>0</v>
      </c>
      <c r="K76" s="573"/>
      <c r="L76" s="82"/>
      <c r="N76" s="84"/>
    </row>
    <row r="77" spans="2:14" ht="16.5" customHeight="1">
      <c r="B77" s="49"/>
      <c r="C77" s="51"/>
      <c r="D77" s="51"/>
      <c r="E77" s="49"/>
      <c r="F77" s="204"/>
      <c r="G77" s="607"/>
      <c r="H77" s="608"/>
      <c r="I77" s="608"/>
      <c r="J77" s="609">
        <f>IF(I77=0,0,H77/I77)</f>
        <v>0</v>
      </c>
      <c r="K77" s="573"/>
      <c r="L77" s="82"/>
      <c r="N77" s="84"/>
    </row>
    <row r="78" spans="2:14" ht="16.5" customHeight="1">
      <c r="B78" s="49"/>
      <c r="C78" s="1253" t="s">
        <v>389</v>
      </c>
      <c r="D78" s="51"/>
      <c r="E78" s="49"/>
      <c r="F78" s="204"/>
      <c r="G78" s="607"/>
      <c r="H78" s="608"/>
      <c r="I78" s="608"/>
      <c r="J78" s="609">
        <f>IF(I78=0,0,H78/I78)</f>
        <v>0</v>
      </c>
      <c r="K78" s="573"/>
      <c r="L78" s="82"/>
      <c r="N78" s="84"/>
    </row>
    <row r="79" spans="2:14" ht="16.5" customHeight="1">
      <c r="B79" s="49"/>
      <c r="C79" s="1253"/>
      <c r="D79" s="51"/>
      <c r="E79" s="49"/>
      <c r="F79" s="212"/>
      <c r="G79" s="610"/>
      <c r="H79" s="611"/>
      <c r="I79" s="611"/>
      <c r="J79" s="612">
        <f>IF(I79=0,0,H79/I79)</f>
        <v>0</v>
      </c>
      <c r="K79" s="573"/>
      <c r="L79" s="82"/>
      <c r="N79" s="84"/>
    </row>
    <row r="80" spans="2:14" ht="5.25" customHeight="1">
      <c r="B80" s="49"/>
      <c r="C80" s="51"/>
      <c r="D80" s="51"/>
      <c r="E80" s="49"/>
      <c r="F80" s="51"/>
      <c r="G80" s="51"/>
      <c r="H80" s="588"/>
      <c r="I80" s="588"/>
      <c r="J80" s="588"/>
      <c r="K80" s="573"/>
      <c r="L80" s="82"/>
      <c r="N80" s="84"/>
    </row>
    <row r="81" spans="2:14" ht="16.5" customHeight="1">
      <c r="B81" s="49"/>
      <c r="C81" s="11"/>
      <c r="D81" s="51"/>
      <c r="E81" s="90"/>
      <c r="F81" s="613" t="s">
        <v>383</v>
      </c>
      <c r="G81" s="614"/>
      <c r="H81" s="614"/>
      <c r="I81" s="614"/>
      <c r="J81" s="615">
        <f>SUM(J76:J79)</f>
        <v>0</v>
      </c>
      <c r="K81" s="573"/>
      <c r="L81" s="82"/>
      <c r="N81" s="84"/>
    </row>
    <row r="82" spans="2:14" ht="5.25" customHeight="1">
      <c r="B82" s="72"/>
      <c r="C82" s="74"/>
      <c r="D82" s="74"/>
      <c r="E82" s="128"/>
      <c r="F82" s="74"/>
      <c r="G82" s="74"/>
      <c r="H82" s="74"/>
      <c r="I82" s="74"/>
      <c r="J82" s="74"/>
      <c r="K82" s="75"/>
      <c r="L82" s="76"/>
      <c r="M82" s="84"/>
      <c r="N82" s="84"/>
    </row>
  </sheetData>
  <sheetProtection password="DEBF" sheet="1"/>
  <mergeCells count="58">
    <mergeCell ref="E3:J5"/>
    <mergeCell ref="E6:J6"/>
    <mergeCell ref="E8:I8"/>
    <mergeCell ref="H10:I10"/>
    <mergeCell ref="C11:C12"/>
    <mergeCell ref="G11:I11"/>
    <mergeCell ref="G12:I12"/>
    <mergeCell ref="C25:C26"/>
    <mergeCell ref="G26:H26"/>
    <mergeCell ref="G13:I13"/>
    <mergeCell ref="C14:C15"/>
    <mergeCell ref="G14:I14"/>
    <mergeCell ref="G15:I15"/>
    <mergeCell ref="C18:C19"/>
    <mergeCell ref="G18:H18"/>
    <mergeCell ref="G19:H19"/>
    <mergeCell ref="O27:P27"/>
    <mergeCell ref="O28:P28"/>
    <mergeCell ref="C29:C30"/>
    <mergeCell ref="O29:P29"/>
    <mergeCell ref="O30:P30"/>
    <mergeCell ref="O31:P31"/>
    <mergeCell ref="O32:P32"/>
    <mergeCell ref="E34:I34"/>
    <mergeCell ref="G37:H37"/>
    <mergeCell ref="G38:H38"/>
    <mergeCell ref="G39:H39"/>
    <mergeCell ref="G40:H40"/>
    <mergeCell ref="C78:C79"/>
    <mergeCell ref="G41:H41"/>
    <mergeCell ref="G42:H42"/>
    <mergeCell ref="G43:H43"/>
    <mergeCell ref="G44:H44"/>
    <mergeCell ref="G47:H47"/>
    <mergeCell ref="G48:H48"/>
    <mergeCell ref="F58:G58"/>
    <mergeCell ref="F59:G59"/>
    <mergeCell ref="F60:G60"/>
    <mergeCell ref="M16:M17"/>
    <mergeCell ref="G49:H49"/>
    <mergeCell ref="G52:H52"/>
    <mergeCell ref="G53:H53"/>
    <mergeCell ref="E56:I56"/>
    <mergeCell ref="C61:C62"/>
    <mergeCell ref="G20:H20"/>
    <mergeCell ref="C21:C22"/>
    <mergeCell ref="G21:H21"/>
    <mergeCell ref="G22:H22"/>
    <mergeCell ref="F67:G67"/>
    <mergeCell ref="F68:G68"/>
    <mergeCell ref="F69:G69"/>
    <mergeCell ref="F70:G70"/>
    <mergeCell ref="F61:G61"/>
    <mergeCell ref="F62:G62"/>
    <mergeCell ref="F63:G63"/>
    <mergeCell ref="F64:G64"/>
    <mergeCell ref="F65:G65"/>
    <mergeCell ref="F66:G66"/>
  </mergeCells>
  <conditionalFormatting sqref="H23">
    <cfRule type="cellIs" priority="18" dxfId="13" operator="equal" stopIfTrue="1">
      <formula>365</formula>
    </cfRule>
  </conditionalFormatting>
  <conditionalFormatting sqref="I26:J26">
    <cfRule type="expression" priority="19" dxfId="12" stopIfTrue="1">
      <formula>LEN(TRIM(I26))=0</formula>
    </cfRule>
  </conditionalFormatting>
  <conditionalFormatting sqref="J11:J15">
    <cfRule type="expression" priority="22" dxfId="7" stopIfTrue="1">
      <formula>LEN(TRIM(J11))=0</formula>
    </cfRule>
  </conditionalFormatting>
  <conditionalFormatting sqref="I18:J22">
    <cfRule type="expression" priority="23" dxfId="7" stopIfTrue="1">
      <formula>LEN(TRIM(I18))=0</formula>
    </cfRule>
  </conditionalFormatting>
  <conditionalFormatting sqref="I37:J44">
    <cfRule type="expression" priority="24" dxfId="7" stopIfTrue="1">
      <formula>LEN(TRIM(I37))=0</formula>
    </cfRule>
  </conditionalFormatting>
  <conditionalFormatting sqref="H59">
    <cfRule type="expression" priority="25" dxfId="148" stopIfTrue="1">
      <formula>LEN(TRIM(H59))=0</formula>
    </cfRule>
  </conditionalFormatting>
  <conditionalFormatting sqref="G76:I79">
    <cfRule type="expression" priority="26" dxfId="7" stopIfTrue="1">
      <formula>LEN(TRIM(G76))=0</formula>
    </cfRule>
  </conditionalFormatting>
  <conditionalFormatting sqref="F60:F70">
    <cfRule type="expression" priority="13" dxfId="149" stopIfTrue="1">
      <formula>LEN(TRIM(F60))=0</formula>
    </cfRule>
  </conditionalFormatting>
  <conditionalFormatting sqref="F59">
    <cfRule type="expression" priority="11" dxfId="150" stopIfTrue="1">
      <formula>LEN(TRIM(F59))=0</formula>
    </cfRule>
  </conditionalFormatting>
  <conditionalFormatting sqref="I59">
    <cfRule type="expression" priority="7" dxfId="151" stopIfTrue="1">
      <formula>LEN(TRIM(I59))=0</formula>
    </cfRule>
  </conditionalFormatting>
  <conditionalFormatting sqref="H60">
    <cfRule type="expression" priority="6" dxfId="1" stopIfTrue="1">
      <formula>LEN(TRIM(H60))=0</formula>
    </cfRule>
  </conditionalFormatting>
  <conditionalFormatting sqref="I60">
    <cfRule type="expression" priority="5" dxfId="151" stopIfTrue="1">
      <formula>LEN(TRIM(I60))=0</formula>
    </cfRule>
  </conditionalFormatting>
  <conditionalFormatting sqref="F59:H70">
    <cfRule type="expression" priority="4" dxfId="1" stopIfTrue="1">
      <formula>LEN(TRIM(F59))=0</formula>
    </cfRule>
  </conditionalFormatting>
  <conditionalFormatting sqref="I61:I70">
    <cfRule type="expression" priority="3" dxfId="151" stopIfTrue="1">
      <formula>LEN(TRIM(I61))=0</formula>
    </cfRule>
  </conditionalFormatting>
  <hyperlinks>
    <hyperlink ref="C11" location="Diagnosis!E6" display="     Next     "/>
    <hyperlink ref="C14" location="Reports!H2" display="     Back       "/>
    <hyperlink ref="C18" location="Menu!E3" display="   Menu   "/>
    <hyperlink ref="C25" location="Calculators!E34" display=" Marketing"/>
    <hyperlink ref="C29" location="Calculators!E56" display=" Labour"/>
    <hyperlink ref="C61" location="FarmData!H31" display="Farm Data"/>
    <hyperlink ref="C78" location="Calculators!E3" display="   Top   "/>
    <hyperlink ref="C11:C12" location="Background!A1" display="     Next     "/>
  </hyperlinks>
  <printOptions/>
  <pageMargins left="0.7" right="0.7" top="0.75" bottom="0.75" header="0.5118055555555555" footer="0.5118055555555555"/>
  <pageSetup horizontalDpi="300" verticalDpi="300" orientation="portrait" scale="65" r:id="rId4"/>
  <rowBreaks count="1" manualBreakCount="1">
    <brk id="54" max="255" man="1"/>
  </rowBreaks>
  <colBreaks count="1" manualBreakCount="1">
    <brk id="12" max="65535" man="1"/>
  </colBreaks>
  <drawing r:id="rId3"/>
  <legacyDrawing r:id="rId2"/>
</worksheet>
</file>

<file path=xl/worksheets/sheet11.xml><?xml version="1.0" encoding="utf-8"?>
<worksheet xmlns="http://schemas.openxmlformats.org/spreadsheetml/2006/main" xmlns:r="http://schemas.openxmlformats.org/officeDocument/2006/relationships">
  <dimension ref="B1:AH203"/>
  <sheetViews>
    <sheetView showGridLines="0" showRowColHeaders="0" zoomScaleSheetLayoutView="100" zoomScalePageLayoutView="0" workbookViewId="0" topLeftCell="A1">
      <selection activeCell="A50" sqref="A50:IV205"/>
    </sheetView>
  </sheetViews>
  <sheetFormatPr defaultColWidth="9.140625" defaultRowHeight="12.75"/>
  <cols>
    <col min="1" max="1" width="4.57421875" style="0" customWidth="1"/>
    <col min="2" max="2" width="1.57421875" style="0" customWidth="1"/>
    <col min="3" max="3" width="15.140625" style="0" customWidth="1"/>
    <col min="4" max="4" width="1.1484375" style="0" customWidth="1"/>
    <col min="5" max="5" width="4.7109375" style="0" customWidth="1"/>
    <col min="6" max="6" width="3.57421875" style="0" customWidth="1"/>
    <col min="7" max="7" width="152.140625" style="0" customWidth="1"/>
    <col min="8" max="8" width="1.421875" style="0" customWidth="1"/>
    <col min="11" max="14" width="20.421875" style="0" customWidth="1"/>
    <col min="15" max="15" width="2.421875" style="0" customWidth="1"/>
    <col min="16" max="16" width="43.7109375" style="0" customWidth="1"/>
    <col min="17" max="17" width="20.421875" style="0" customWidth="1"/>
    <col min="18" max="18" width="13.57421875" style="0" customWidth="1"/>
    <col min="19" max="19" width="1.421875" style="0" customWidth="1"/>
    <col min="20" max="22" width="20.421875" style="0" customWidth="1"/>
    <col min="23" max="23" width="1.7109375" style="0" customWidth="1"/>
    <col min="24" max="25" width="20.421875" style="0" customWidth="1"/>
    <col min="26" max="26" width="20.421875" style="617" customWidth="1"/>
    <col min="27" max="27" width="1.8515625" style="0" customWidth="1"/>
    <col min="28" max="30" width="20.421875" style="0" customWidth="1"/>
    <col min="31" max="31" width="12.7109375" style="0" customWidth="1"/>
    <col min="32" max="32" width="9.28125" style="0" bestFit="1" customWidth="1"/>
  </cols>
  <sheetData>
    <row r="1" ht="6" customHeight="1">
      <c r="H1" s="10"/>
    </row>
    <row r="2" spans="2:8" ht="6" customHeight="1">
      <c r="B2" s="5"/>
      <c r="C2" s="618"/>
      <c r="D2" s="618"/>
      <c r="E2" s="618"/>
      <c r="F2" s="618"/>
      <c r="G2" s="618"/>
      <c r="H2" s="8"/>
    </row>
    <row r="3" spans="2:8" ht="49.5" customHeight="1">
      <c r="B3" s="9"/>
      <c r="C3" s="10"/>
      <c r="D3" s="10"/>
      <c r="E3" s="1276" t="s">
        <v>392</v>
      </c>
      <c r="F3" s="1276"/>
      <c r="G3" s="1276"/>
      <c r="H3" s="16"/>
    </row>
    <row r="4" spans="2:9" ht="6" customHeight="1">
      <c r="B4" s="9"/>
      <c r="C4" s="10"/>
      <c r="D4" s="10"/>
      <c r="E4" s="1277"/>
      <c r="F4" s="1277"/>
      <c r="G4" s="1277"/>
      <c r="H4" s="621"/>
      <c r="I4" s="622"/>
    </row>
    <row r="5" spans="2:9" ht="25.5" customHeight="1">
      <c r="B5" s="9"/>
      <c r="C5" s="10"/>
      <c r="D5" s="10"/>
      <c r="E5" s="1278" t="s">
        <v>393</v>
      </c>
      <c r="F5" s="1278"/>
      <c r="G5" s="1278"/>
      <c r="H5" s="621"/>
      <c r="I5" s="622"/>
    </row>
    <row r="6" spans="2:9" ht="5.25" customHeight="1">
      <c r="B6" s="9"/>
      <c r="C6" s="10"/>
      <c r="D6" s="10"/>
      <c r="E6" s="623"/>
      <c r="F6" s="624"/>
      <c r="G6" s="625"/>
      <c r="H6" s="621"/>
      <c r="I6" s="622"/>
    </row>
    <row r="7" spans="2:9" ht="30" customHeight="1">
      <c r="B7" s="9"/>
      <c r="C7" s="208" t="s">
        <v>144</v>
      </c>
      <c r="D7" s="10"/>
      <c r="E7" s="626" t="s">
        <v>18</v>
      </c>
      <c r="F7" s="1279" t="s">
        <v>633</v>
      </c>
      <c r="G7" s="1279"/>
      <c r="H7" s="621"/>
      <c r="I7" s="622"/>
    </row>
    <row r="8" spans="2:9" ht="8.25" customHeight="1">
      <c r="B8" s="9"/>
      <c r="C8" s="10"/>
      <c r="D8" s="10"/>
      <c r="E8" s="627"/>
      <c r="F8" s="628"/>
      <c r="G8" s="629"/>
      <c r="H8" s="621"/>
      <c r="I8" s="622"/>
    </row>
    <row r="9" spans="2:9" ht="21.75" customHeight="1">
      <c r="B9" s="9"/>
      <c r="C9" s="1155" t="s">
        <v>145</v>
      </c>
      <c r="D9" s="10"/>
      <c r="E9" s="626" t="s">
        <v>18</v>
      </c>
      <c r="F9" s="1279" t="s">
        <v>394</v>
      </c>
      <c r="G9" s="1279"/>
      <c r="H9" s="621"/>
      <c r="I9" s="622"/>
    </row>
    <row r="10" spans="2:9" ht="4.5" customHeight="1">
      <c r="B10" s="9"/>
      <c r="C10" s="1155"/>
      <c r="D10" s="10"/>
      <c r="E10" s="626"/>
      <c r="F10" s="630"/>
      <c r="G10" s="631"/>
      <c r="H10" s="621"/>
      <c r="I10" s="622"/>
    </row>
    <row r="11" spans="2:9" ht="47.25">
      <c r="B11" s="9"/>
      <c r="C11" s="10"/>
      <c r="D11" s="10"/>
      <c r="E11" s="627"/>
      <c r="F11" s="632" t="s">
        <v>391</v>
      </c>
      <c r="G11" s="633" t="s">
        <v>395</v>
      </c>
      <c r="H11" s="621"/>
      <c r="I11" s="622"/>
    </row>
    <row r="12" spans="2:9" ht="7.5" customHeight="1">
      <c r="B12" s="9"/>
      <c r="C12" s="10"/>
      <c r="D12" s="10"/>
      <c r="E12" s="627"/>
      <c r="F12" s="632"/>
      <c r="G12" s="633"/>
      <c r="H12" s="621"/>
      <c r="I12" s="622"/>
    </row>
    <row r="13" spans="2:9" ht="28.5" customHeight="1">
      <c r="B13" s="9"/>
      <c r="C13" s="56" t="s">
        <v>71</v>
      </c>
      <c r="D13" s="10"/>
      <c r="E13" s="627"/>
      <c r="F13" s="632" t="s">
        <v>391</v>
      </c>
      <c r="G13" s="634" t="s">
        <v>396</v>
      </c>
      <c r="H13" s="621"/>
      <c r="I13" s="622"/>
    </row>
    <row r="14" spans="2:9" ht="7.5" customHeight="1">
      <c r="B14" s="9"/>
      <c r="C14" s="10"/>
      <c r="D14" s="10"/>
      <c r="E14" s="627"/>
      <c r="F14" s="632"/>
      <c r="G14" s="635"/>
      <c r="H14" s="621"/>
      <c r="I14" s="622"/>
    </row>
    <row r="15" spans="2:9" ht="47.25">
      <c r="B15" s="9"/>
      <c r="C15" s="10"/>
      <c r="D15" s="10"/>
      <c r="E15" s="627"/>
      <c r="F15" s="632" t="s">
        <v>391</v>
      </c>
      <c r="G15" s="635" t="s">
        <v>397</v>
      </c>
      <c r="H15" s="621"/>
      <c r="I15" s="622"/>
    </row>
    <row r="16" spans="2:9" ht="7.5" customHeight="1">
      <c r="B16" s="9"/>
      <c r="C16" s="10"/>
      <c r="D16" s="10"/>
      <c r="E16" s="627"/>
      <c r="F16" s="632"/>
      <c r="G16" s="635"/>
      <c r="H16" s="621"/>
      <c r="I16" s="622"/>
    </row>
    <row r="17" spans="2:9" ht="47.25" customHeight="1">
      <c r="B17" s="9"/>
      <c r="C17" s="10"/>
      <c r="D17" s="10"/>
      <c r="E17" s="627"/>
      <c r="F17" s="632" t="s">
        <v>391</v>
      </c>
      <c r="G17" s="636" t="s">
        <v>398</v>
      </c>
      <c r="H17" s="621"/>
      <c r="I17" s="622"/>
    </row>
    <row r="18" spans="2:9" ht="7.5" customHeight="1">
      <c r="B18" s="9"/>
      <c r="C18" s="10"/>
      <c r="D18" s="10"/>
      <c r="E18" s="627"/>
      <c r="F18" s="632"/>
      <c r="G18" s="636"/>
      <c r="H18" s="621"/>
      <c r="I18" s="622"/>
    </row>
    <row r="19" spans="2:9" ht="47.25">
      <c r="B19" s="9"/>
      <c r="C19" s="10"/>
      <c r="D19" s="10"/>
      <c r="E19" s="627"/>
      <c r="F19" s="632" t="s">
        <v>391</v>
      </c>
      <c r="G19" s="635" t="s">
        <v>399</v>
      </c>
      <c r="H19" s="621"/>
      <c r="I19" s="622"/>
    </row>
    <row r="20" spans="2:9" ht="7.5" customHeight="1">
      <c r="B20" s="9"/>
      <c r="C20" s="10"/>
      <c r="D20" s="10"/>
      <c r="E20" s="627"/>
      <c r="F20" s="632"/>
      <c r="G20" s="635"/>
      <c r="H20" s="621"/>
      <c r="I20" s="622"/>
    </row>
    <row r="21" spans="2:9" ht="63">
      <c r="B21" s="9"/>
      <c r="C21" s="10"/>
      <c r="D21" s="10"/>
      <c r="E21" s="627"/>
      <c r="F21" s="632" t="s">
        <v>391</v>
      </c>
      <c r="G21" s="633" t="s">
        <v>400</v>
      </c>
      <c r="H21" s="621"/>
      <c r="I21" s="622"/>
    </row>
    <row r="22" spans="2:9" ht="7.5" customHeight="1">
      <c r="B22" s="9"/>
      <c r="C22" s="10"/>
      <c r="D22" s="10"/>
      <c r="E22" s="627"/>
      <c r="F22" s="632"/>
      <c r="G22" s="633"/>
      <c r="H22" s="621"/>
      <c r="I22" s="622"/>
    </row>
    <row r="23" spans="2:9" ht="47.25">
      <c r="B23" s="9"/>
      <c r="C23" s="10"/>
      <c r="D23" s="10"/>
      <c r="E23" s="627"/>
      <c r="F23" s="632" t="s">
        <v>391</v>
      </c>
      <c r="G23" s="633" t="s">
        <v>401</v>
      </c>
      <c r="H23" s="621"/>
      <c r="I23" s="622"/>
    </row>
    <row r="24" spans="2:9" ht="6" customHeight="1">
      <c r="B24" s="9"/>
      <c r="C24" s="10"/>
      <c r="D24" s="10"/>
      <c r="E24" s="637"/>
      <c r="F24" s="638"/>
      <c r="G24" s="639"/>
      <c r="H24" s="621"/>
      <c r="I24" s="622"/>
    </row>
    <row r="25" spans="2:9" ht="10.5" customHeight="1">
      <c r="B25" s="9"/>
      <c r="C25" s="10"/>
      <c r="D25" s="10"/>
      <c r="E25" s="640"/>
      <c r="F25" s="10"/>
      <c r="G25" s="641"/>
      <c r="H25" s="621"/>
      <c r="I25" s="622"/>
    </row>
    <row r="26" spans="2:9" ht="30" customHeight="1">
      <c r="B26" s="9"/>
      <c r="C26" s="10"/>
      <c r="D26" s="10"/>
      <c r="E26" s="1275" t="s">
        <v>402</v>
      </c>
      <c r="F26" s="1275"/>
      <c r="G26" s="1275"/>
      <c r="H26" s="621"/>
      <c r="I26" s="622"/>
    </row>
    <row r="27" spans="2:9" ht="9.75" customHeight="1">
      <c r="B27" s="9"/>
      <c r="C27" s="10"/>
      <c r="D27" s="10"/>
      <c r="E27" s="642"/>
      <c r="F27" s="643"/>
      <c r="G27" s="644"/>
      <c r="H27" s="621"/>
      <c r="I27" s="622"/>
    </row>
    <row r="28" spans="2:9" ht="27.75" customHeight="1">
      <c r="B28" s="9"/>
      <c r="C28" s="10"/>
      <c r="D28" s="10"/>
      <c r="E28" s="645" t="s">
        <v>18</v>
      </c>
      <c r="F28" s="1270" t="s">
        <v>403</v>
      </c>
      <c r="G28" s="1270"/>
      <c r="H28" s="621"/>
      <c r="I28" s="622"/>
    </row>
    <row r="29" spans="2:9" ht="7.5" customHeight="1">
      <c r="B29" s="9"/>
      <c r="C29" s="10"/>
      <c r="D29" s="10"/>
      <c r="E29" s="645"/>
      <c r="F29" s="647"/>
      <c r="G29" s="646"/>
      <c r="H29" s="621"/>
      <c r="I29" s="622"/>
    </row>
    <row r="30" spans="2:9" ht="41.25" customHeight="1">
      <c r="B30" s="9"/>
      <c r="C30" s="10"/>
      <c r="D30" s="10"/>
      <c r="E30" s="645" t="s">
        <v>18</v>
      </c>
      <c r="F30" s="1270" t="s">
        <v>404</v>
      </c>
      <c r="G30" s="1270"/>
      <c r="H30" s="621"/>
      <c r="I30" s="622"/>
    </row>
    <row r="31" spans="2:9" ht="7.5" customHeight="1">
      <c r="B31" s="9"/>
      <c r="C31" s="10"/>
      <c r="D31" s="10"/>
      <c r="E31" s="645"/>
      <c r="F31" s="647"/>
      <c r="G31" s="646"/>
      <c r="H31" s="621"/>
      <c r="I31" s="622"/>
    </row>
    <row r="32" spans="2:9" ht="31.5" customHeight="1">
      <c r="B32" s="9"/>
      <c r="C32" s="648"/>
      <c r="D32" s="648"/>
      <c r="E32" s="645" t="s">
        <v>18</v>
      </c>
      <c r="F32" s="1270" t="s">
        <v>405</v>
      </c>
      <c r="G32" s="1270"/>
      <c r="H32" s="621"/>
      <c r="I32" s="622"/>
    </row>
    <row r="33" spans="2:9" ht="7.5" customHeight="1">
      <c r="B33" s="9"/>
      <c r="C33" s="648"/>
      <c r="D33" s="648"/>
      <c r="E33" s="645"/>
      <c r="F33" s="647"/>
      <c r="G33" s="646"/>
      <c r="H33" s="621"/>
      <c r="I33" s="622"/>
    </row>
    <row r="34" spans="2:9" ht="28.5" customHeight="1">
      <c r="B34" s="9"/>
      <c r="C34" s="10"/>
      <c r="D34" s="10"/>
      <c r="E34" s="645" t="s">
        <v>18</v>
      </c>
      <c r="F34" s="1270" t="s">
        <v>406</v>
      </c>
      <c r="G34" s="1270"/>
      <c r="H34" s="621"/>
      <c r="I34" s="622"/>
    </row>
    <row r="35" spans="2:9" ht="7.5" customHeight="1">
      <c r="B35" s="9"/>
      <c r="C35" s="10"/>
      <c r="D35" s="10"/>
      <c r="E35" s="645"/>
      <c r="F35" s="647"/>
      <c r="G35" s="646"/>
      <c r="H35" s="621"/>
      <c r="I35" s="622"/>
    </row>
    <row r="36" spans="2:9" ht="27.75" customHeight="1">
      <c r="B36" s="9"/>
      <c r="C36" s="10"/>
      <c r="D36" s="10"/>
      <c r="E36" s="645" t="s">
        <v>18</v>
      </c>
      <c r="F36" s="1270" t="s">
        <v>407</v>
      </c>
      <c r="G36" s="1270"/>
      <c r="H36" s="621"/>
      <c r="I36" s="622"/>
    </row>
    <row r="37" spans="2:9" ht="7.5" customHeight="1">
      <c r="B37" s="9"/>
      <c r="C37" s="10"/>
      <c r="D37" s="10"/>
      <c r="E37" s="645"/>
      <c r="F37" s="647"/>
      <c r="G37" s="646"/>
      <c r="H37" s="621"/>
      <c r="I37" s="622"/>
    </row>
    <row r="38" spans="2:9" ht="22.5" customHeight="1">
      <c r="B38" s="9"/>
      <c r="C38" s="10"/>
      <c r="D38" s="10"/>
      <c r="E38" s="645" t="s">
        <v>18</v>
      </c>
      <c r="F38" s="1270" t="s">
        <v>408</v>
      </c>
      <c r="G38" s="1270"/>
      <c r="H38" s="621"/>
      <c r="I38" s="622"/>
    </row>
    <row r="39" spans="2:9" ht="7.5" customHeight="1">
      <c r="B39" s="9"/>
      <c r="C39" s="10"/>
      <c r="D39" s="10"/>
      <c r="E39" s="645"/>
      <c r="F39" s="647"/>
      <c r="G39" s="646"/>
      <c r="H39" s="621"/>
      <c r="I39" s="622"/>
    </row>
    <row r="40" spans="2:9" ht="28.5" customHeight="1">
      <c r="B40" s="9"/>
      <c r="C40" s="10"/>
      <c r="D40" s="10"/>
      <c r="E40" s="645" t="s">
        <v>18</v>
      </c>
      <c r="F40" s="1270" t="s">
        <v>409</v>
      </c>
      <c r="G40" s="1270"/>
      <c r="H40" s="621"/>
      <c r="I40" s="622"/>
    </row>
    <row r="41" spans="2:9" ht="7.5" customHeight="1">
      <c r="B41" s="9"/>
      <c r="C41" s="10"/>
      <c r="D41" s="10"/>
      <c r="E41" s="645"/>
      <c r="F41" s="647"/>
      <c r="G41" s="646"/>
      <c r="H41" s="621"/>
      <c r="I41" s="622"/>
    </row>
    <row r="42" spans="2:9" ht="30" customHeight="1">
      <c r="B42" s="9"/>
      <c r="C42" s="10"/>
      <c r="D42" s="10"/>
      <c r="E42" s="649" t="s">
        <v>18</v>
      </c>
      <c r="F42" s="1271" t="s">
        <v>410</v>
      </c>
      <c r="G42" s="1271"/>
      <c r="H42" s="621"/>
      <c r="I42" s="622"/>
    </row>
    <row r="43" spans="2:9" ht="7.5" customHeight="1">
      <c r="B43" s="37"/>
      <c r="C43" s="38"/>
      <c r="D43" s="38"/>
      <c r="E43" s="38"/>
      <c r="F43" s="38"/>
      <c r="G43" s="650"/>
      <c r="H43" s="477"/>
      <c r="I43" s="622"/>
    </row>
    <row r="44" spans="7:9" ht="15.75">
      <c r="G44" s="651"/>
      <c r="H44" s="622"/>
      <c r="I44" s="622"/>
    </row>
    <row r="45" spans="7:9" ht="15.75">
      <c r="G45" s="651"/>
      <c r="H45" s="622"/>
      <c r="I45" s="622"/>
    </row>
    <row r="46" spans="7:9" ht="15.75">
      <c r="G46" s="651"/>
      <c r="H46" s="622"/>
      <c r="I46" s="622"/>
    </row>
    <row r="47" spans="7:9" ht="15.75">
      <c r="G47" s="651"/>
      <c r="H47" s="622"/>
      <c r="I47" s="622"/>
    </row>
    <row r="48" spans="7:9" ht="15.75" customHeight="1">
      <c r="G48" s="652"/>
      <c r="H48" s="622"/>
      <c r="I48" s="622"/>
    </row>
    <row r="49" spans="7:9" ht="18" customHeight="1">
      <c r="G49" s="651"/>
      <c r="H49" s="622"/>
      <c r="I49" s="622"/>
    </row>
    <row r="50" spans="7:28" ht="15" hidden="1">
      <c r="G50" s="651"/>
      <c r="H50" s="622"/>
      <c r="I50" s="622"/>
      <c r="T50" t="s">
        <v>411</v>
      </c>
      <c r="X50" t="s">
        <v>726</v>
      </c>
      <c r="AB50" t="s">
        <v>725</v>
      </c>
    </row>
    <row r="51" spans="7:29" ht="15" hidden="1">
      <c r="G51" s="651"/>
      <c r="H51" s="622"/>
      <c r="I51" s="622"/>
      <c r="J51" s="622"/>
      <c r="U51" s="617"/>
      <c r="V51" s="617"/>
      <c r="Y51" s="617"/>
      <c r="AC51" s="617"/>
    </row>
    <row r="52" spans="7:30" ht="21" hidden="1">
      <c r="G52" s="651"/>
      <c r="H52" s="622"/>
      <c r="I52" s="622"/>
      <c r="J52" s="622"/>
      <c r="K52" s="653" t="s">
        <v>412</v>
      </c>
      <c r="L52" s="654"/>
      <c r="M52" s="655"/>
      <c r="N52" s="656" t="str">
        <f>R81</f>
        <v>Lambs Sold</v>
      </c>
      <c r="P52" s="1272" t="s">
        <v>413</v>
      </c>
      <c r="Q52" s="1272"/>
      <c r="T52" s="1273" t="s">
        <v>700</v>
      </c>
      <c r="U52" s="1273"/>
      <c r="V52" s="1273"/>
      <c r="X52" s="1274" t="s">
        <v>699</v>
      </c>
      <c r="Y52" s="1274"/>
      <c r="Z52" s="1274"/>
      <c r="AB52" s="1267" t="s">
        <v>701</v>
      </c>
      <c r="AC52" s="1267"/>
      <c r="AD52" s="1267"/>
    </row>
    <row r="53" spans="7:30" ht="12.75" customHeight="1" hidden="1">
      <c r="G53" s="651"/>
      <c r="H53" s="622"/>
      <c r="I53" s="622"/>
      <c r="J53" s="622"/>
      <c r="K53" s="1268" t="s">
        <v>414</v>
      </c>
      <c r="L53" s="1268"/>
      <c r="M53" s="657" t="s">
        <v>415</v>
      </c>
      <c r="N53" s="657" t="s">
        <v>416</v>
      </c>
      <c r="P53" s="658" t="s">
        <v>417</v>
      </c>
      <c r="Q53" s="515" t="e">
        <f>M57</f>
        <v>#DIV/0!</v>
      </c>
      <c r="T53" s="659"/>
      <c r="U53" s="660"/>
      <c r="V53" s="660" t="s">
        <v>418</v>
      </c>
      <c r="X53" s="659"/>
      <c r="Y53" s="660"/>
      <c r="Z53" s="661"/>
      <c r="AB53" s="659"/>
      <c r="AC53" s="660"/>
      <c r="AD53" s="659"/>
    </row>
    <row r="54" spans="7:30" ht="15" hidden="1">
      <c r="G54" s="651"/>
      <c r="H54" s="622"/>
      <c r="I54" s="622"/>
      <c r="J54" s="622"/>
      <c r="K54" s="662" t="s">
        <v>140</v>
      </c>
      <c r="L54" s="663"/>
      <c r="M54" s="664"/>
      <c r="N54" s="664"/>
      <c r="P54" s="658" t="s">
        <v>419</v>
      </c>
      <c r="Q54" s="515" t="e">
        <f>Q67/((FarmData!H5+FarmData!L5)/2)</f>
        <v>#DIV/0!</v>
      </c>
      <c r="T54" s="659"/>
      <c r="U54" s="660"/>
      <c r="V54" s="660"/>
      <c r="X54" s="665" t="s">
        <v>420</v>
      </c>
      <c r="Y54" s="660" t="e">
        <f>Z128/Z127</f>
        <v>#DIV/0!</v>
      </c>
      <c r="Z54" s="666"/>
      <c r="AB54" s="659" t="s">
        <v>136</v>
      </c>
      <c r="AC54" s="1081">
        <f>AD147</f>
        <v>0</v>
      </c>
      <c r="AD54" s="659"/>
    </row>
    <row r="55" spans="7:30" ht="15" hidden="1">
      <c r="G55" s="651"/>
      <c r="K55" s="668" t="s">
        <v>140</v>
      </c>
      <c r="L55" s="669"/>
      <c r="M55" s="670" t="e">
        <f>SUM(Expenses!J9:J14)/((FarmData!$H$5+Reports!$J$20)/2)</f>
        <v>#DIV/0!</v>
      </c>
      <c r="N55" s="670" t="e">
        <f>SUM(Expenses!J9:J14)/Q81</f>
        <v>#DIV/0!</v>
      </c>
      <c r="P55" s="658" t="s">
        <v>421</v>
      </c>
      <c r="Q55" s="671" t="e">
        <f>Q77/((FarmData!H5+FarmData!L5)/2)</f>
        <v>#DIV/0!</v>
      </c>
      <c r="T55" s="659"/>
      <c r="U55" s="660"/>
      <c r="V55" s="660"/>
      <c r="X55" s="665"/>
      <c r="Y55" s="672"/>
      <c r="Z55" s="666"/>
      <c r="AB55" s="659"/>
      <c r="AC55" s="660"/>
      <c r="AD55" s="659"/>
    </row>
    <row r="56" spans="7:26" ht="15" hidden="1">
      <c r="G56" s="651"/>
      <c r="K56" s="668" t="s">
        <v>422</v>
      </c>
      <c r="L56" s="673"/>
      <c r="M56" s="670" t="e">
        <f>Expenses!J15/((FarmData!$H$5+Reports!$J$20)/2)</f>
        <v>#DIV/0!</v>
      </c>
      <c r="N56" s="670" t="e">
        <f>Expenses!J15/Q81</f>
        <v>#DIV/0!</v>
      </c>
      <c r="P56" s="674" t="s">
        <v>423</v>
      </c>
      <c r="Q56" s="178">
        <f>Income!O14</f>
        <v>0</v>
      </c>
      <c r="T56" s="659" t="s">
        <v>136</v>
      </c>
      <c r="U56" s="675">
        <f>Q57</f>
        <v>0</v>
      </c>
      <c r="V56" s="675" t="e">
        <f aca="true" t="shared" si="0" ref="V56:V62">U56/$Q$81</f>
        <v>#DIV/0!</v>
      </c>
      <c r="X56" s="665" t="s">
        <v>424</v>
      </c>
      <c r="Y56" s="676" t="e">
        <f>Z146</f>
        <v>#DIV/0!</v>
      </c>
      <c r="Z56" s="666"/>
    </row>
    <row r="57" spans="7:30" ht="15" hidden="1">
      <c r="G57" s="652"/>
      <c r="K57" s="677" t="s">
        <v>425</v>
      </c>
      <c r="L57" s="502"/>
      <c r="M57" s="678" t="e">
        <f>Expenses!J16/((FarmData!$H$5+Reports!$J$20)/2)</f>
        <v>#DIV/0!</v>
      </c>
      <c r="N57" s="678" t="e">
        <f>Expenses!J16/Q81</f>
        <v>#DIV/0!</v>
      </c>
      <c r="P57" s="674" t="s">
        <v>426</v>
      </c>
      <c r="Q57" s="179">
        <f>Income!J20</f>
        <v>0</v>
      </c>
      <c r="T57" s="659" t="s">
        <v>140</v>
      </c>
      <c r="U57" s="675">
        <f>Expenses!J16</f>
        <v>0</v>
      </c>
      <c r="V57" s="675" t="e">
        <f t="shared" si="0"/>
        <v>#DIV/0!</v>
      </c>
      <c r="X57" s="659" t="s">
        <v>140</v>
      </c>
      <c r="Y57" s="679">
        <f>Z159</f>
        <v>0</v>
      </c>
      <c r="Z57" s="661"/>
      <c r="AB57" s="659" t="s">
        <v>140</v>
      </c>
      <c r="AC57" s="679">
        <f>AD152</f>
        <v>0</v>
      </c>
      <c r="AD57" s="659"/>
    </row>
    <row r="58" spans="7:30" ht="15" hidden="1">
      <c r="G58" s="651"/>
      <c r="K58" s="680"/>
      <c r="L58" s="620"/>
      <c r="M58" s="670"/>
      <c r="N58" s="670"/>
      <c r="P58" s="674" t="s">
        <v>427</v>
      </c>
      <c r="Q58" s="526">
        <f>Expenses!I43</f>
        <v>0</v>
      </c>
      <c r="T58" s="659" t="s">
        <v>86</v>
      </c>
      <c r="U58" s="681" t="e">
        <f>Expenses!J36-Expenses!J34</f>
        <v>#DIV/0!</v>
      </c>
      <c r="V58" s="675" t="e">
        <f t="shared" si="0"/>
        <v>#DIV/0!</v>
      </c>
      <c r="X58" s="659" t="s">
        <v>86</v>
      </c>
      <c r="Y58" s="682" t="e">
        <f>Z169</f>
        <v>#DIV/0!</v>
      </c>
      <c r="Z58" s="661"/>
      <c r="AB58" s="659" t="s">
        <v>86</v>
      </c>
      <c r="AC58" s="679">
        <f>AD161</f>
        <v>0</v>
      </c>
      <c r="AD58" s="659"/>
    </row>
    <row r="59" spans="7:30" ht="15" hidden="1">
      <c r="G59" s="651"/>
      <c r="K59" s="683" t="s">
        <v>429</v>
      </c>
      <c r="L59" s="684"/>
      <c r="M59" s="678"/>
      <c r="N59" s="678"/>
      <c r="P59" s="674" t="s">
        <v>430</v>
      </c>
      <c r="Q59" s="179">
        <f>(Q57+((FarmData!L5*FarmData!H7)-(FarmData!H5*FarmData!H7))+((FarmData!M5*FarmData!H14)-(FarmData!H12*FarmData!H14))+((FarmData!N5*FarmData!H21)-(FarmData!H16*FarmData!H21)))</f>
        <v>0</v>
      </c>
      <c r="T59" s="659" t="s">
        <v>431</v>
      </c>
      <c r="U59" s="675">
        <f>Expenses!J49</f>
        <v>0</v>
      </c>
      <c r="V59" s="675" t="e">
        <f t="shared" si="0"/>
        <v>#DIV/0!</v>
      </c>
      <c r="X59" s="659" t="s">
        <v>431</v>
      </c>
      <c r="Y59" s="679">
        <f>Z195</f>
        <v>0</v>
      </c>
      <c r="Z59" s="661"/>
      <c r="AB59" s="659" t="s">
        <v>172</v>
      </c>
      <c r="AC59" s="679">
        <f>AD186</f>
        <v>0</v>
      </c>
      <c r="AD59" s="659"/>
    </row>
    <row r="60" spans="7:30" ht="15" hidden="1">
      <c r="G60" s="651"/>
      <c r="K60" s="668" t="s">
        <v>432</v>
      </c>
      <c r="L60" s="673"/>
      <c r="M60" s="670" t="e">
        <f>Expenses!J19/((FarmData!$H$5+Reports!$J$20)/2)</f>
        <v>#DIV/0!</v>
      </c>
      <c r="N60" s="670" t="e">
        <f>Expenses!J19/Q81</f>
        <v>#DIV/0!</v>
      </c>
      <c r="P60" s="674" t="s">
        <v>433</v>
      </c>
      <c r="Q60" s="179" t="e">
        <f>Expenses!J59</f>
        <v>#DIV/0!</v>
      </c>
      <c r="T60" s="659"/>
      <c r="U60" s="675"/>
      <c r="V60" s="675"/>
      <c r="X60" s="659"/>
      <c r="Y60" s="685"/>
      <c r="Z60" s="661"/>
      <c r="AB60" s="659"/>
      <c r="AC60" s="675"/>
      <c r="AD60" s="659"/>
    </row>
    <row r="61" spans="7:30" ht="15" hidden="1">
      <c r="G61" s="651"/>
      <c r="K61" s="668" t="s">
        <v>434</v>
      </c>
      <c r="L61" s="673"/>
      <c r="M61" s="670" t="e">
        <f>Expenses!J20/((FarmData!$H$5+Reports!$J$20)/2)</f>
        <v>#DIV/0!</v>
      </c>
      <c r="N61" s="670" t="e">
        <f>Expenses!J20/Q81</f>
        <v>#DIV/0!</v>
      </c>
      <c r="P61" s="674" t="s">
        <v>435</v>
      </c>
      <c r="Q61" s="179">
        <f>Expenses!J60</f>
        <v>0</v>
      </c>
      <c r="T61" s="659" t="s">
        <v>436</v>
      </c>
      <c r="U61" s="675">
        <f>Expenses!J21+Expenses!J29+Expenses!J34+Expenses!I43+Expenses!J50+Expenses!J56-Expenses!J49</f>
        <v>0</v>
      </c>
      <c r="V61" s="675" t="e">
        <f t="shared" si="0"/>
        <v>#DIV/0!</v>
      </c>
      <c r="X61" s="659" t="s">
        <v>436</v>
      </c>
      <c r="Y61" s="679">
        <f>Z180</f>
        <v>0</v>
      </c>
      <c r="Z61" s="675"/>
      <c r="AB61" s="659" t="s">
        <v>437</v>
      </c>
      <c r="AC61" s="679">
        <f>AD176</f>
        <v>0</v>
      </c>
      <c r="AD61" s="659"/>
    </row>
    <row r="62" spans="7:30" ht="15" hidden="1">
      <c r="G62" s="651"/>
      <c r="K62" s="668"/>
      <c r="L62" s="673"/>
      <c r="M62" s="670"/>
      <c r="N62" s="670"/>
      <c r="P62" s="91" t="s">
        <v>628</v>
      </c>
      <c r="Q62" s="179" t="e">
        <f>Q60+Q61</f>
        <v>#DIV/0!</v>
      </c>
      <c r="T62" s="659" t="s">
        <v>180</v>
      </c>
      <c r="U62" s="1105" t="e">
        <f>U57+U58+U59+U61</f>
        <v>#DIV/0!</v>
      </c>
      <c r="V62" s="675" t="e">
        <f t="shared" si="0"/>
        <v>#DIV/0!</v>
      </c>
      <c r="X62" s="659" t="s">
        <v>180</v>
      </c>
      <c r="Y62" s="679" t="e">
        <f>Y57+Y58+Y59+Y61</f>
        <v>#DIV/0!</v>
      </c>
      <c r="Z62" s="660"/>
      <c r="AB62" s="659" t="s">
        <v>180</v>
      </c>
      <c r="AC62" s="1080">
        <f>AC57+AC58+AC59+AC61</f>
        <v>0</v>
      </c>
      <c r="AD62" s="659"/>
    </row>
    <row r="63" spans="7:30" ht="15" hidden="1">
      <c r="G63" s="651"/>
      <c r="K63" s="686" t="s">
        <v>438</v>
      </c>
      <c r="L63" s="687"/>
      <c r="M63" s="670" t="e">
        <f>Expenses!J48/((FarmData!$H$5+Reports!$J$20)/2)</f>
        <v>#DIV/0!</v>
      </c>
      <c r="N63" s="670" t="e">
        <f>Expenses!J48/Q81</f>
        <v>#DIV/0!</v>
      </c>
      <c r="P63" s="674" t="s">
        <v>439</v>
      </c>
      <c r="Q63" s="179" t="e">
        <f>Q59-Q60</f>
        <v>#DIV/0!</v>
      </c>
      <c r="T63" s="659"/>
      <c r="U63" s="660"/>
      <c r="V63" s="660"/>
      <c r="X63" s="688"/>
      <c r="Y63" s="689"/>
      <c r="Z63" s="661"/>
      <c r="AB63" s="659"/>
      <c r="AC63" s="660"/>
      <c r="AD63" s="659"/>
    </row>
    <row r="64" spans="7:30" ht="15" hidden="1">
      <c r="G64" s="651"/>
      <c r="K64" s="677" t="s">
        <v>440</v>
      </c>
      <c r="L64" s="502"/>
      <c r="M64" s="678" t="e">
        <f>Expenses!J21/((FarmData!$H$5+Reports!$J$20)/2)</f>
        <v>#DIV/0!</v>
      </c>
      <c r="N64" s="678" t="e">
        <f>Expenses!J21/Q81</f>
        <v>#DIV/0!</v>
      </c>
      <c r="P64" s="674" t="s">
        <v>441</v>
      </c>
      <c r="Q64" s="179" t="e">
        <f>Q63/((FarmData!H5+FarmData!L5)/2)</f>
        <v>#DIV/0!</v>
      </c>
      <c r="T64" s="659" t="s">
        <v>442</v>
      </c>
      <c r="U64" s="675" t="e">
        <f>U56-U62</f>
        <v>#DIV/0!</v>
      </c>
      <c r="V64" s="675" t="e">
        <f>U64/$Q$81</f>
        <v>#DIV/0!</v>
      </c>
      <c r="X64" s="659" t="s">
        <v>442</v>
      </c>
      <c r="Y64" s="690" t="e">
        <f>Y56-Y62</f>
        <v>#DIV/0!</v>
      </c>
      <c r="Z64" s="661"/>
      <c r="AB64" s="659" t="s">
        <v>442</v>
      </c>
      <c r="AC64" s="667">
        <f>AC54-AC62</f>
        <v>0</v>
      </c>
      <c r="AD64" s="659"/>
    </row>
    <row r="65" spans="7:30" ht="15" hidden="1">
      <c r="G65" s="651"/>
      <c r="K65" s="691"/>
      <c r="L65" s="620"/>
      <c r="M65" s="670"/>
      <c r="N65" s="670"/>
      <c r="P65" s="674" t="s">
        <v>443</v>
      </c>
      <c r="Q65" s="179" t="e">
        <f>Q63/SUM(Income!G9:G13)</f>
        <v>#DIV/0!</v>
      </c>
      <c r="T65" s="659" t="s">
        <v>444</v>
      </c>
      <c r="U65" s="675" t="e">
        <f>U64+U58</f>
        <v>#DIV/0!</v>
      </c>
      <c r="V65" s="675" t="e">
        <f>U65/$Q$81</f>
        <v>#DIV/0!</v>
      </c>
      <c r="X65" s="659" t="s">
        <v>444</v>
      </c>
      <c r="Y65" s="690" t="e">
        <f>Y64+Y58</f>
        <v>#DIV/0!</v>
      </c>
      <c r="Z65" s="661"/>
      <c r="AB65" s="659" t="s">
        <v>444</v>
      </c>
      <c r="AC65" s="667">
        <f>AC64+AC58</f>
        <v>0</v>
      </c>
      <c r="AD65" s="659"/>
    </row>
    <row r="66" spans="7:30" ht="15" hidden="1">
      <c r="G66" s="692"/>
      <c r="K66" s="693" t="s">
        <v>445</v>
      </c>
      <c r="L66" s="694"/>
      <c r="M66" s="678"/>
      <c r="N66" s="678"/>
      <c r="P66" s="674" t="s">
        <v>446</v>
      </c>
      <c r="Q66" s="695" t="e">
        <f>Q63/Q59</f>
        <v>#DIV/0!</v>
      </c>
      <c r="T66" s="659" t="s">
        <v>447</v>
      </c>
      <c r="U66" s="675" t="e">
        <f>U65+V88</f>
        <v>#DIV/0!</v>
      </c>
      <c r="V66" s="675" t="e">
        <f>U66/$Q$81</f>
        <v>#DIV/0!</v>
      </c>
      <c r="X66" s="659" t="s">
        <v>447</v>
      </c>
      <c r="Y66" s="690" t="e">
        <f>Y65+V88</f>
        <v>#DIV/0!</v>
      </c>
      <c r="Z66" s="661"/>
      <c r="AB66" s="659" t="s">
        <v>447</v>
      </c>
      <c r="AC66" s="667">
        <f>AC65</f>
        <v>0</v>
      </c>
      <c r="AD66" s="659"/>
    </row>
    <row r="67" spans="7:30" ht="15" hidden="1">
      <c r="G67" s="696"/>
      <c r="K67" s="686" t="s">
        <v>448</v>
      </c>
      <c r="L67" s="687"/>
      <c r="M67" s="670" t="e">
        <f>Expenses!J53/((FarmData!$H$5+Reports!$J$20)/2)</f>
        <v>#DIV/0!</v>
      </c>
      <c r="N67" s="670" t="e">
        <f>Expenses!J53/Q81</f>
        <v>#DIV/0!</v>
      </c>
      <c r="P67" s="674" t="s">
        <v>449</v>
      </c>
      <c r="Q67" s="179" t="e">
        <f>Q63-Q61</f>
        <v>#DIV/0!</v>
      </c>
      <c r="T67" s="659" t="s">
        <v>450</v>
      </c>
      <c r="U67" s="681" t="e">
        <f>U66/U68</f>
        <v>#DIV/0!</v>
      </c>
      <c r="V67" s="675" t="e">
        <f>U67/$Q$81</f>
        <v>#DIV/0!</v>
      </c>
      <c r="X67" s="659" t="s">
        <v>450</v>
      </c>
      <c r="Y67" s="690" t="e">
        <f>Y66/Y68/Y72</f>
        <v>#DIV/0!</v>
      </c>
      <c r="Z67" s="661"/>
      <c r="AB67" s="659" t="s">
        <v>450</v>
      </c>
      <c r="AC67" s="697" t="e">
        <f>AC66/AC68</f>
        <v>#DIV/0!</v>
      </c>
      <c r="AD67" s="659"/>
    </row>
    <row r="68" spans="7:30" ht="15" hidden="1">
      <c r="G68" s="698"/>
      <c r="K68" s="686" t="s">
        <v>169</v>
      </c>
      <c r="L68" s="687"/>
      <c r="M68" s="670" t="e">
        <f>Expenses!J46/((FarmData!$H$5+Reports!$J$20)/2)</f>
        <v>#DIV/0!</v>
      </c>
      <c r="N68" s="670" t="e">
        <f>Expenses!J46/Q81</f>
        <v>#DIV/0!</v>
      </c>
      <c r="P68" s="674" t="s">
        <v>451</v>
      </c>
      <c r="Q68" s="179" t="e">
        <f>Q67+Expenses!J32+Expenses!J35+Expenses!J33</f>
        <v>#DIV/0!</v>
      </c>
      <c r="T68" s="659" t="s">
        <v>452</v>
      </c>
      <c r="U68" s="660">
        <f>Q77</f>
        <v>0</v>
      </c>
      <c r="V68" s="699" t="e">
        <f>U68/$Q$81</f>
        <v>#DIV/0!</v>
      </c>
      <c r="X68" s="659" t="s">
        <v>452</v>
      </c>
      <c r="Y68" s="700">
        <f>Z166</f>
        <v>0</v>
      </c>
      <c r="Z68" s="661"/>
      <c r="AB68" s="659" t="s">
        <v>452</v>
      </c>
      <c r="AC68" s="701">
        <f>AD162</f>
        <v>0</v>
      </c>
      <c r="AD68" s="659"/>
    </row>
    <row r="69" spans="7:30" ht="15" hidden="1">
      <c r="G69" s="698"/>
      <c r="K69" s="686" t="s">
        <v>453</v>
      </c>
      <c r="L69" s="687"/>
      <c r="M69" s="670" t="e">
        <f>Expenses!J54/((FarmData!$H$5+Reports!$J$20)/2)</f>
        <v>#DIV/0!</v>
      </c>
      <c r="N69" s="670" t="e">
        <f>Expenses!J54/Q81</f>
        <v>#DIV/0!</v>
      </c>
      <c r="P69" s="674" t="s">
        <v>454</v>
      </c>
      <c r="Q69" s="695" t="e">
        <f>Q60/Q59</f>
        <v>#DIV/0!</v>
      </c>
      <c r="T69" s="659" t="s">
        <v>455</v>
      </c>
      <c r="U69" s="660" t="e">
        <f>IF(U67&lt;6,1,IF(U67&lt;12,2,IF(U67&lt;18,3,4)))</f>
        <v>#DIV/0!</v>
      </c>
      <c r="V69" s="660"/>
      <c r="X69" s="659" t="s">
        <v>455</v>
      </c>
      <c r="Y69" s="689" t="e">
        <f>IF(Y67&lt;6,1,IF(Y67&lt;12,2,IF(Y67&lt;18,3,4)))</f>
        <v>#DIV/0!</v>
      </c>
      <c r="Z69" s="661"/>
      <c r="AB69" s="659" t="s">
        <v>455</v>
      </c>
      <c r="AC69" s="660" t="e">
        <f>IF(AC67&lt;6,1,IF(AC67&lt;12,2,IF(AC67&lt;18,3,4)))</f>
        <v>#DIV/0!</v>
      </c>
      <c r="AD69" s="659"/>
    </row>
    <row r="70" spans="7:30" ht="15" hidden="1">
      <c r="G70" s="652"/>
      <c r="K70" s="668" t="s">
        <v>456</v>
      </c>
      <c r="L70" s="673"/>
      <c r="M70" s="670" t="e">
        <f>Expenses!J27/((FarmData!$H$5+Reports!$J$20)/2)</f>
        <v>#DIV/0!</v>
      </c>
      <c r="N70" s="670" t="e">
        <f>Expenses!J27/Q81</f>
        <v>#DIV/0!</v>
      </c>
      <c r="P70" s="674" t="s">
        <v>457</v>
      </c>
      <c r="Q70" s="695" t="e">
        <f>Q61/Q59</f>
        <v>#DIV/0!</v>
      </c>
      <c r="T70" s="659"/>
      <c r="U70" s="660"/>
      <c r="V70" s="660"/>
      <c r="X70" s="659"/>
      <c r="Y70" s="689"/>
      <c r="Z70" s="661"/>
      <c r="AB70" s="659"/>
      <c r="AC70" s="660"/>
      <c r="AD70" s="659" t="s">
        <v>458</v>
      </c>
    </row>
    <row r="71" spans="7:30" ht="15" hidden="1">
      <c r="G71" s="652"/>
      <c r="K71" s="686" t="s">
        <v>459</v>
      </c>
      <c r="L71" s="687"/>
      <c r="M71" s="670" t="e">
        <f>Expenses!J28/((FarmData!$H$5+Reports!$J$20)/2)</f>
        <v>#DIV/0!</v>
      </c>
      <c r="N71" s="670" t="e">
        <f>Expenses!J28/Q81</f>
        <v>#DIV/0!</v>
      </c>
      <c r="P71" s="674" t="s">
        <v>460</v>
      </c>
      <c r="Q71" s="702" t="e">
        <f>Expenses!J36</f>
        <v>#DIV/0!</v>
      </c>
      <c r="T71" s="659" t="s">
        <v>461</v>
      </c>
      <c r="U71" s="675" t="e">
        <f>Snapshot!E148</f>
        <v>#DIV/0!</v>
      </c>
      <c r="V71" s="675"/>
      <c r="X71" s="688" t="s">
        <v>462</v>
      </c>
      <c r="Y71" s="703" t="s">
        <v>53</v>
      </c>
      <c r="Z71" s="703"/>
      <c r="AB71" s="704"/>
      <c r="AC71" s="705"/>
      <c r="AD71" s="659"/>
    </row>
    <row r="72" spans="7:30" ht="15" hidden="1">
      <c r="G72" s="652"/>
      <c r="K72" s="668" t="s">
        <v>166</v>
      </c>
      <c r="L72" s="673"/>
      <c r="M72" s="670" t="e">
        <f>Expenses!J55/((FarmData!$H$5+Reports!$J$20)/2)</f>
        <v>#DIV/0!</v>
      </c>
      <c r="N72" s="670" t="e">
        <f>Expenses!J55/Q81</f>
        <v>#DIV/0!</v>
      </c>
      <c r="P72" s="674" t="s">
        <v>463</v>
      </c>
      <c r="Q72" s="702" t="e">
        <f>Expenses!J36+Q67</f>
        <v>#DIV/0!</v>
      </c>
      <c r="T72" s="659" t="s">
        <v>455</v>
      </c>
      <c r="U72" s="660" t="e">
        <f>IF(U71&lt;6,1,IF(U71&lt;12,2,IF(U71&lt;18,3,4)))</f>
        <v>#DIV/0!</v>
      </c>
      <c r="V72" s="660"/>
      <c r="X72" s="688"/>
      <c r="Y72" s="706">
        <f>IF(Welcome!$H23="Marketable Lambs",1,1)</f>
        <v>1</v>
      </c>
      <c r="Z72" s="707"/>
      <c r="AB72" s="704"/>
      <c r="AC72" s="708">
        <f>IF(Welcome!$H23="Marketable Lambs",AD81,1)</f>
        <v>1</v>
      </c>
      <c r="AD72" s="659"/>
    </row>
    <row r="73" spans="7:30" ht="15" hidden="1">
      <c r="G73" s="652"/>
      <c r="K73" s="677"/>
      <c r="L73" s="502"/>
      <c r="M73" s="678"/>
      <c r="N73" s="678"/>
      <c r="P73" s="674" t="s">
        <v>464</v>
      </c>
      <c r="Q73" s="709" t="e">
        <f>FarmData!H20/FarmData!H17</f>
        <v>#DIV/0!</v>
      </c>
      <c r="T73" s="659" t="s">
        <v>242</v>
      </c>
      <c r="U73" s="1053" t="e">
        <f>(U74+Expenses!J47)/Q90</f>
        <v>#DIV/0!</v>
      </c>
      <c r="V73" s="660"/>
      <c r="X73" s="688" t="s">
        <v>242</v>
      </c>
      <c r="Y73" s="1053" t="e">
        <f>Y74/Z187</f>
        <v>#DIV/0!</v>
      </c>
      <c r="Z73" s="703"/>
      <c r="AB73" s="659" t="s">
        <v>242</v>
      </c>
      <c r="AC73" s="1053" t="e">
        <f>AC74/AD203</f>
        <v>#DIV/0!</v>
      </c>
      <c r="AD73" s="659"/>
    </row>
    <row r="74" spans="7:30" ht="15" hidden="1">
      <c r="G74" s="652"/>
      <c r="K74" s="668"/>
      <c r="L74" s="673"/>
      <c r="M74" s="670"/>
      <c r="N74" s="670"/>
      <c r="P74" s="674" t="s">
        <v>465</v>
      </c>
      <c r="Q74" s="695" t="e">
        <f>FarmData!N5/FarmData!H17</f>
        <v>#DIV/0!</v>
      </c>
      <c r="T74" s="659" t="s">
        <v>229</v>
      </c>
      <c r="U74" s="675" t="e">
        <f>U64+V88</f>
        <v>#DIV/0!</v>
      </c>
      <c r="V74" s="660"/>
      <c r="X74" s="659" t="s">
        <v>229</v>
      </c>
      <c r="Y74" s="675" t="e">
        <f>Y64+V88</f>
        <v>#DIV/0!</v>
      </c>
      <c r="Z74" s="661"/>
      <c r="AB74" s="659" t="s">
        <v>229</v>
      </c>
      <c r="AC74" s="675">
        <f>AC64</f>
        <v>0</v>
      </c>
      <c r="AD74" s="659"/>
    </row>
    <row r="75" spans="7:30" ht="15" hidden="1">
      <c r="G75" s="710"/>
      <c r="K75" s="693" t="s">
        <v>466</v>
      </c>
      <c r="L75" s="694"/>
      <c r="M75" s="678"/>
      <c r="N75" s="678"/>
      <c r="P75" s="658" t="s">
        <v>467</v>
      </c>
      <c r="Q75" s="711">
        <f>Expenses!J15</f>
        <v>0</v>
      </c>
      <c r="T75" s="659" t="s">
        <v>468</v>
      </c>
      <c r="U75" s="675" t="e">
        <f>U58+U74</f>
        <v>#DIV/0!</v>
      </c>
      <c r="V75" s="660"/>
      <c r="X75" s="659"/>
      <c r="Y75" s="660"/>
      <c r="Z75" s="661"/>
      <c r="AB75" s="659" t="s">
        <v>724</v>
      </c>
      <c r="AC75" s="1102" t="e">
        <f>AC74/AD131</f>
        <v>#DIV/0!</v>
      </c>
      <c r="AD75" s="659" t="str">
        <f>Welcome!H23</f>
        <v>Lambs Sold</v>
      </c>
    </row>
    <row r="76" spans="7:30" ht="15" hidden="1">
      <c r="G76" s="696"/>
      <c r="K76" s="668" t="s">
        <v>469</v>
      </c>
      <c r="L76" s="712"/>
      <c r="M76" s="670" t="e">
        <f>Expenses!J24/((FarmData!$H$5+Reports!$J$20)/2)</f>
        <v>#DIV/0!</v>
      </c>
      <c r="N76" s="670" t="e">
        <f>Expenses!J24/Q81</f>
        <v>#DIV/0!</v>
      </c>
      <c r="P76" s="658"/>
      <c r="Q76" s="711"/>
      <c r="T76" s="659"/>
      <c r="U76" s="660"/>
      <c r="V76" s="660"/>
      <c r="X76" s="659"/>
      <c r="Z76" s="661"/>
      <c r="AB76" s="659"/>
      <c r="AC76" s="660"/>
      <c r="AD76" s="659"/>
    </row>
    <row r="77" spans="7:30" ht="15" hidden="1">
      <c r="G77" s="698"/>
      <c r="K77" s="668" t="s">
        <v>470</v>
      </c>
      <c r="L77" s="712"/>
      <c r="M77" s="670" t="e">
        <f>Expenses!J25/((FarmData!$H$5+Reports!$J$20)/2)</f>
        <v>#DIV/0!</v>
      </c>
      <c r="N77" s="670" t="e">
        <f>Expenses!J25/Q81</f>
        <v>#DIV/0!</v>
      </c>
      <c r="P77" s="665" t="s">
        <v>471</v>
      </c>
      <c r="Q77" s="713">
        <f>FarmData!H31+FarmData!H32</f>
        <v>0</v>
      </c>
      <c r="T77" s="659" t="s">
        <v>472</v>
      </c>
      <c r="U77" s="660"/>
      <c r="V77" s="660"/>
      <c r="X77" s="947"/>
      <c r="Z77" s="948"/>
      <c r="AB77" s="659"/>
      <c r="AC77" s="660"/>
      <c r="AD77" s="659"/>
    </row>
    <row r="78" spans="7:30" ht="15" hidden="1">
      <c r="G78" s="698"/>
      <c r="K78" s="668" t="s">
        <v>473</v>
      </c>
      <c r="L78" s="673"/>
      <c r="M78" s="670" t="e">
        <f>Expenses!J26/((FarmData!$H$5+Reports!$J$20)/2)</f>
        <v>#DIV/0!</v>
      </c>
      <c r="N78" s="670" t="e">
        <f>Expenses!J26/Q81</f>
        <v>#DIV/0!</v>
      </c>
      <c r="P78" s="665" t="s">
        <v>474</v>
      </c>
      <c r="Q78" s="714" t="e">
        <f>((FarmData!H31*FarmData!H34)+(FarmData!H32*FarmData!H35))/Q77</f>
        <v>#DIV/0!</v>
      </c>
      <c r="T78" s="659" t="s">
        <v>475</v>
      </c>
      <c r="U78" s="660">
        <f>FarmData!H20</f>
        <v>0</v>
      </c>
      <c r="V78" s="660"/>
      <c r="X78" s="952" t="s">
        <v>475</v>
      </c>
      <c r="Y78" s="953">
        <f>Z123</f>
        <v>0</v>
      </c>
      <c r="Z78" s="954"/>
      <c r="AB78" s="659" t="s">
        <v>475</v>
      </c>
      <c r="AC78" s="660">
        <f>((FarmData!H8*Targets!K10)+Expenses!H39+FarmData!H16)*Targets!K17</f>
        <v>0</v>
      </c>
      <c r="AD78" s="659"/>
    </row>
    <row r="79" spans="7:30" ht="15" hidden="1">
      <c r="G79" s="698"/>
      <c r="K79" s="677" t="s">
        <v>476</v>
      </c>
      <c r="L79" s="694"/>
      <c r="M79" s="678" t="e">
        <f>Expenses!J29/((FarmData!$H$5+Reports!$J$20)/2)</f>
        <v>#DIV/0!</v>
      </c>
      <c r="N79" s="678" t="e">
        <f>Expenses!J29/Q81</f>
        <v>#DIV/0!</v>
      </c>
      <c r="P79" s="665" t="s">
        <v>477</v>
      </c>
      <c r="Q79" s="715" t="e">
        <f>Q77-((Expenses!J32+Expenses!J33)/Q78)</f>
        <v>#DIV/0!</v>
      </c>
      <c r="T79" s="659" t="s">
        <v>478</v>
      </c>
      <c r="U79" s="660">
        <f>FarmData!H13</f>
        <v>0</v>
      </c>
      <c r="V79" s="660"/>
      <c r="X79" s="955" t="s">
        <v>478</v>
      </c>
      <c r="Y79" s="956">
        <f>Z115</f>
        <v>0</v>
      </c>
      <c r="Z79" s="954"/>
      <c r="AB79" s="659" t="s">
        <v>478</v>
      </c>
      <c r="AC79" s="660">
        <f>(Reports!D21+Reports!J21)/2*Targets!K15</f>
        <v>0</v>
      </c>
      <c r="AD79" s="659"/>
    </row>
    <row r="80" spans="7:34" ht="15" hidden="1">
      <c r="G80" s="692"/>
      <c r="K80" s="668"/>
      <c r="L80" s="716"/>
      <c r="M80" s="670"/>
      <c r="N80" s="670"/>
      <c r="P80" s="21" t="s">
        <v>479</v>
      </c>
      <c r="Q80" s="717">
        <f>IF(Reports!D20=0,0,IF((Reports!E20+Reports!G20)-(Reports!H20+Income!G16)&lt;0,(Reports!E20+Reports!G20)/Reports!D20,(Reports!H20+Income!G16)/Reports!D20))</f>
        <v>0</v>
      </c>
      <c r="T80" s="659" t="s">
        <v>480</v>
      </c>
      <c r="U80" s="660">
        <f>FarmData!H6</f>
        <v>0</v>
      </c>
      <c r="V80" s="660"/>
      <c r="X80" s="955" t="s">
        <v>480</v>
      </c>
      <c r="Y80" s="953">
        <f>Z106</f>
        <v>0</v>
      </c>
      <c r="Z80" s="954"/>
      <c r="AB80" s="659" t="s">
        <v>480</v>
      </c>
      <c r="AC80" s="957">
        <f>AD102*Targets!K13</f>
        <v>0</v>
      </c>
      <c r="AD80" s="659"/>
      <c r="AE80" s="958"/>
      <c r="AF80" s="958"/>
      <c r="AG80" s="958"/>
      <c r="AH80" s="958"/>
    </row>
    <row r="81" spans="7:30" ht="15" hidden="1">
      <c r="G81" s="696"/>
      <c r="K81" s="693" t="s">
        <v>162</v>
      </c>
      <c r="L81" s="694"/>
      <c r="M81" s="719"/>
      <c r="N81" s="719"/>
      <c r="P81" s="720" t="s">
        <v>481</v>
      </c>
      <c r="Q81" s="721">
        <f>IF(Welcome!$H23="Marketable Lambs",Snapshot!H97,Snapshot!H95)</f>
        <v>0</v>
      </c>
      <c r="R81" s="720" t="str">
        <f>Welcome!H23</f>
        <v>Lambs Sold</v>
      </c>
      <c r="T81" s="659" t="s">
        <v>482</v>
      </c>
      <c r="U81" s="660">
        <f>Reports!I22</f>
        <v>0</v>
      </c>
      <c r="V81" s="660"/>
      <c r="X81" s="952" t="s">
        <v>482</v>
      </c>
      <c r="Y81" s="956" t="e">
        <f>Z128</f>
        <v>#DIV/0!</v>
      </c>
      <c r="Z81" s="952"/>
      <c r="AB81" s="659" t="s">
        <v>482</v>
      </c>
      <c r="AC81" s="660">
        <f>AC82-Reports!G22+Reports!$D22-Reports!$J22+Reports!E22</f>
        <v>0</v>
      </c>
      <c r="AD81" s="660" t="e">
        <f>AC81/AC82</f>
        <v>#DIV/0!</v>
      </c>
    </row>
    <row r="82" spans="7:30" ht="15" hidden="1">
      <c r="G82" s="698"/>
      <c r="K82" s="668" t="s">
        <v>72</v>
      </c>
      <c r="L82" s="673"/>
      <c r="M82" s="722"/>
      <c r="N82" s="723"/>
      <c r="P82" s="724" t="s">
        <v>483</v>
      </c>
      <c r="Q82" s="725">
        <f>FarmData!M8</f>
        <v>0</v>
      </c>
      <c r="R82" s="726"/>
      <c r="S82" s="21"/>
      <c r="T82" s="659" t="s">
        <v>11</v>
      </c>
      <c r="U82" s="660">
        <f>Snapshot!H97</f>
        <v>0</v>
      </c>
      <c r="V82" s="660"/>
      <c r="W82" s="21"/>
      <c r="X82" s="952" t="s">
        <v>11</v>
      </c>
      <c r="Y82" s="953">
        <f>Z127</f>
        <v>0</v>
      </c>
      <c r="Z82" s="954"/>
      <c r="AB82" s="659" t="s">
        <v>11</v>
      </c>
      <c r="AC82" s="727">
        <f>(FarmData!H8*Targets!K10)-AC78</f>
        <v>0</v>
      </c>
      <c r="AD82" s="659"/>
    </row>
    <row r="83" spans="7:30" ht="15" hidden="1">
      <c r="G83" s="698"/>
      <c r="K83" s="668" t="s">
        <v>53</v>
      </c>
      <c r="L83" s="673"/>
      <c r="M83" s="722"/>
      <c r="N83" s="723"/>
      <c r="P83" s="728" t="s">
        <v>484</v>
      </c>
      <c r="Q83" s="729">
        <f>Equipment!M18</f>
        <v>0</v>
      </c>
      <c r="R83" s="730"/>
      <c r="S83" s="731"/>
      <c r="T83" s="659" t="s">
        <v>485</v>
      </c>
      <c r="U83" s="732">
        <f>Q84+Q83</f>
        <v>0</v>
      </c>
      <c r="V83" s="733"/>
      <c r="W83" s="731"/>
      <c r="X83" s="949"/>
      <c r="Y83" s="950"/>
      <c r="Z83" s="951"/>
      <c r="AB83" s="659"/>
      <c r="AC83" s="675"/>
      <c r="AD83" s="659"/>
    </row>
    <row r="84" spans="7:30" ht="15" hidden="1">
      <c r="G84" s="698"/>
      <c r="K84" s="668" t="s">
        <v>61</v>
      </c>
      <c r="L84" s="673"/>
      <c r="M84" s="723"/>
      <c r="N84" s="723"/>
      <c r="P84" s="724" t="s">
        <v>486</v>
      </c>
      <c r="Q84" s="725">
        <f>Equipment!M30</f>
        <v>0</v>
      </c>
      <c r="R84" s="734"/>
      <c r="S84" s="731"/>
      <c r="T84" s="659"/>
      <c r="U84" s="733"/>
      <c r="V84" s="733"/>
      <c r="W84" s="731"/>
      <c r="X84" s="659"/>
      <c r="Y84" s="660"/>
      <c r="Z84" s="661"/>
      <c r="AB84" s="659"/>
      <c r="AC84" s="660"/>
      <c r="AD84" s="659"/>
    </row>
    <row r="85" spans="7:33" ht="15" hidden="1">
      <c r="G85" s="710"/>
      <c r="K85" s="668" t="s">
        <v>166</v>
      </c>
      <c r="L85" s="673"/>
      <c r="M85" s="735"/>
      <c r="N85" s="723"/>
      <c r="P85" s="736" t="s">
        <v>487</v>
      </c>
      <c r="Q85" s="737">
        <f>Equipment!M37</f>
        <v>0</v>
      </c>
      <c r="R85" s="738"/>
      <c r="S85" s="21"/>
      <c r="T85" s="659" t="s">
        <v>488</v>
      </c>
      <c r="U85" s="660">
        <f>Reports!J20-Reports!D20</f>
        <v>0</v>
      </c>
      <c r="V85" s="675">
        <f>U85*FarmData!H7</f>
        <v>0</v>
      </c>
      <c r="W85" s="21"/>
      <c r="X85" s="659"/>
      <c r="Y85" s="660"/>
      <c r="Z85" s="675"/>
      <c r="AB85" s="659"/>
      <c r="AC85" s="660"/>
      <c r="AD85" s="675"/>
      <c r="AE85" s="958"/>
      <c r="AF85" s="958"/>
      <c r="AG85" s="958"/>
    </row>
    <row r="86" spans="11:30" ht="12.75" hidden="1">
      <c r="K86" s="677" t="s">
        <v>489</v>
      </c>
      <c r="L86" s="502"/>
      <c r="M86" s="719"/>
      <c r="N86" s="719"/>
      <c r="P86" s="665" t="s">
        <v>485</v>
      </c>
      <c r="Q86" s="665">
        <f>Q83+Q84</f>
        <v>0</v>
      </c>
      <c r="R86" s="21"/>
      <c r="S86" s="21"/>
      <c r="T86" s="659" t="s">
        <v>490</v>
      </c>
      <c r="U86" s="660">
        <f>Reports!J21-Reports!D21</f>
        <v>0</v>
      </c>
      <c r="V86" s="675">
        <f>U86*FarmData!H14</f>
        <v>0</v>
      </c>
      <c r="W86" s="21"/>
      <c r="X86" s="659"/>
      <c r="Y86" s="701"/>
      <c r="Z86" s="675"/>
      <c r="AB86" s="659"/>
      <c r="AC86" s="660"/>
      <c r="AD86" s="675"/>
    </row>
    <row r="87" spans="11:30" ht="12.75" hidden="1">
      <c r="K87" s="691"/>
      <c r="L87" s="620"/>
      <c r="M87" s="723"/>
      <c r="N87" s="723"/>
      <c r="P87" s="724" t="s">
        <v>491</v>
      </c>
      <c r="Q87" s="729">
        <f>Q83*FarmData!H39</f>
        <v>0</v>
      </c>
      <c r="R87" s="739"/>
      <c r="S87" s="21"/>
      <c r="T87" s="659" t="s">
        <v>492</v>
      </c>
      <c r="U87" s="660">
        <f>Reports!J22-Reports!D22</f>
        <v>0</v>
      </c>
      <c r="V87" s="675">
        <f>U87*FarmData!H21</f>
        <v>0</v>
      </c>
      <c r="W87" s="740"/>
      <c r="X87" s="659"/>
      <c r="Y87" s="660"/>
      <c r="Z87" s="675"/>
      <c r="AB87" s="659"/>
      <c r="AC87" s="660"/>
      <c r="AD87" s="675"/>
    </row>
    <row r="88" spans="11:30" ht="12.75" hidden="1">
      <c r="K88" s="693" t="s">
        <v>86</v>
      </c>
      <c r="L88" s="694"/>
      <c r="M88" s="678"/>
      <c r="N88" s="678"/>
      <c r="P88" s="724" t="s">
        <v>493</v>
      </c>
      <c r="Q88" s="725">
        <f>Q84*FarmData!H40</f>
        <v>0</v>
      </c>
      <c r="R88" s="734"/>
      <c r="S88" s="740"/>
      <c r="T88" s="659" t="s">
        <v>494</v>
      </c>
      <c r="U88" s="660"/>
      <c r="V88" s="675">
        <f>SUM(V85:V87)</f>
        <v>0</v>
      </c>
      <c r="W88" s="21"/>
      <c r="X88" s="659"/>
      <c r="Y88" s="741"/>
      <c r="Z88" s="675"/>
      <c r="AB88" s="659"/>
      <c r="AC88" s="660"/>
      <c r="AD88" s="675"/>
    </row>
    <row r="89" spans="11:30" ht="12.75" hidden="1">
      <c r="K89" s="668" t="s">
        <v>495</v>
      </c>
      <c r="L89" s="673"/>
      <c r="M89" s="670" t="e">
        <f>Expenses!J32/((FarmData!$H$5+Reports!$J$20)/2)</f>
        <v>#DIV/0!</v>
      </c>
      <c r="N89" s="670" t="e">
        <f>Expenses!J32/Q81</f>
        <v>#DIV/0!</v>
      </c>
      <c r="P89" s="742" t="s">
        <v>496</v>
      </c>
      <c r="Q89" s="742">
        <f>Q85*FarmData!H41</f>
        <v>0</v>
      </c>
      <c r="R89" s="740"/>
      <c r="S89" s="21"/>
      <c r="T89" s="659"/>
      <c r="U89" s="660"/>
      <c r="V89" s="660"/>
      <c r="X89" s="659"/>
      <c r="Y89" s="660"/>
      <c r="Z89" s="661"/>
      <c r="AB89" s="659"/>
      <c r="AC89" s="660"/>
      <c r="AD89" s="659"/>
    </row>
    <row r="90" spans="11:30" ht="12.75" hidden="1">
      <c r="K90" s="668" t="s">
        <v>497</v>
      </c>
      <c r="L90" s="673"/>
      <c r="M90" s="670" t="e">
        <f>Expenses!J35/((FarmData!$H$5+Reports!$J$20)/2)</f>
        <v>#DIV/0!</v>
      </c>
      <c r="N90" s="670" t="e">
        <f>Expenses!J35/Q81</f>
        <v>#DIV/0!</v>
      </c>
      <c r="P90" s="743" t="s">
        <v>498</v>
      </c>
      <c r="Q90" s="744">
        <f>Q83+Q84+Q82+Q85</f>
        <v>0</v>
      </c>
      <c r="R90" s="743"/>
      <c r="T90" s="659"/>
      <c r="U90" s="660"/>
      <c r="V90" s="660" t="s">
        <v>250</v>
      </c>
      <c r="X90" s="659"/>
      <c r="Y90" s="660"/>
      <c r="Z90" s="961"/>
      <c r="AB90" s="659"/>
      <c r="AC90" s="660"/>
      <c r="AD90" s="659"/>
    </row>
    <row r="91" spans="11:30" ht="12.75" hidden="1">
      <c r="K91" s="668" t="s">
        <v>499</v>
      </c>
      <c r="L91" s="673"/>
      <c r="M91" s="670" t="e">
        <f>Expenses!J34/((FarmData!$H$5+Reports!$J$20)/2)</f>
        <v>#DIV/0!</v>
      </c>
      <c r="N91" s="670" t="e">
        <f>Expenses!J34/Q81</f>
        <v>#DIV/0!</v>
      </c>
      <c r="P91" s="743" t="s">
        <v>500</v>
      </c>
      <c r="Q91" s="745">
        <f>Q87+Q88+Q89</f>
        <v>0</v>
      </c>
      <c r="R91" s="743"/>
      <c r="T91" s="659" t="str">
        <f>R81</f>
        <v>Lambs Sold</v>
      </c>
      <c r="U91" s="660">
        <f>Q81</f>
        <v>0</v>
      </c>
      <c r="V91" s="660"/>
      <c r="X91" s="659"/>
      <c r="Y91" s="660"/>
      <c r="Z91" s="961"/>
      <c r="AB91" s="659"/>
      <c r="AC91" s="660"/>
      <c r="AD91" s="660"/>
    </row>
    <row r="92" spans="11:30" ht="12.75" hidden="1">
      <c r="K92" s="668" t="s">
        <v>501</v>
      </c>
      <c r="L92" s="673"/>
      <c r="M92" s="670" t="e">
        <f>Expenses!J33/((FarmData!$H$5+Reports!$J$20)/2)</f>
        <v>#DIV/0!</v>
      </c>
      <c r="N92" s="670" t="e">
        <f>Expenses!J33/Q81</f>
        <v>#DIV/0!</v>
      </c>
      <c r="T92" s="659" t="s">
        <v>502</v>
      </c>
      <c r="U92" s="660" t="e">
        <f>Q77/U91</f>
        <v>#DIV/0!</v>
      </c>
      <c r="V92" s="675" t="e">
        <f>U92*Q78</f>
        <v>#DIV/0!</v>
      </c>
      <c r="X92" s="659"/>
      <c r="Y92" s="660"/>
      <c r="Z92" s="675"/>
      <c r="AB92" s="659"/>
      <c r="AC92" s="660"/>
      <c r="AD92" s="659"/>
    </row>
    <row r="93" spans="11:30" ht="12.75" hidden="1">
      <c r="K93" s="677" t="s">
        <v>428</v>
      </c>
      <c r="L93" s="502"/>
      <c r="M93" s="678" t="e">
        <f>Expenses!J36/((FarmData!$H$5+Reports!$J$20)/2)</f>
        <v>#DIV/0!</v>
      </c>
      <c r="N93" s="678" t="e">
        <f>Expenses!J36/Q81</f>
        <v>#DIV/0!</v>
      </c>
      <c r="P93" s="524" t="s">
        <v>503</v>
      </c>
      <c r="Q93" s="524" t="s">
        <v>504</v>
      </c>
      <c r="R93" s="524" t="s">
        <v>505</v>
      </c>
      <c r="T93" s="746" t="s">
        <v>506</v>
      </c>
      <c r="U93" s="747"/>
      <c r="V93" s="747"/>
      <c r="X93" s="748"/>
      <c r="Y93" s="749"/>
      <c r="Z93" s="749"/>
      <c r="AB93" s="750"/>
      <c r="AC93" s="751"/>
      <c r="AD93" s="750"/>
    </row>
    <row r="94" spans="11:30" ht="12.75" hidden="1">
      <c r="K94" s="691"/>
      <c r="L94" s="620"/>
      <c r="M94" s="752"/>
      <c r="N94" s="752"/>
      <c r="P94" s="658" t="s">
        <v>507</v>
      </c>
      <c r="Q94" s="535">
        <f>Q83</f>
        <v>0</v>
      </c>
      <c r="R94" s="535" t="e">
        <f>Q94/Reports!$I$22</f>
        <v>#DIV/0!</v>
      </c>
      <c r="T94" s="659" t="s">
        <v>22</v>
      </c>
      <c r="U94" s="675">
        <f>Q83</f>
        <v>0</v>
      </c>
      <c r="V94" s="660"/>
      <c r="Z94" s="661"/>
      <c r="AB94" s="659"/>
      <c r="AC94" s="675"/>
      <c r="AD94" s="659"/>
    </row>
    <row r="95" spans="11:30" ht="12.75" hidden="1">
      <c r="K95" s="683" t="s">
        <v>508</v>
      </c>
      <c r="L95" s="502"/>
      <c r="M95" s="678" t="e">
        <f>Expenses!J59/((FarmData!$H$5+Reports!$J$20)/2)</f>
        <v>#DIV/0!</v>
      </c>
      <c r="N95" s="678" t="e">
        <f>Expenses!J59/Q81</f>
        <v>#DIV/0!</v>
      </c>
      <c r="P95" s="658" t="s">
        <v>509</v>
      </c>
      <c r="Q95" s="515">
        <f>Q84</f>
        <v>0</v>
      </c>
      <c r="R95" s="535" t="e">
        <f>Q95/Reports!$I$22</f>
        <v>#DIV/0!</v>
      </c>
      <c r="T95" s="659" t="s">
        <v>109</v>
      </c>
      <c r="U95" s="675">
        <f>Q84</f>
        <v>0</v>
      </c>
      <c r="V95" s="660"/>
      <c r="Z95" s="661"/>
      <c r="AB95" s="659"/>
      <c r="AC95" s="675"/>
      <c r="AD95" s="659"/>
    </row>
    <row r="96" spans="11:30" ht="12.75" hidden="1">
      <c r="K96" s="691"/>
      <c r="L96" s="620"/>
      <c r="M96" s="670"/>
      <c r="N96" s="670"/>
      <c r="P96" s="658" t="s">
        <v>276</v>
      </c>
      <c r="Q96" s="515">
        <f>Q82</f>
        <v>0</v>
      </c>
      <c r="R96" s="535" t="e">
        <f>Q96/Reports!$I$22</f>
        <v>#DIV/0!</v>
      </c>
      <c r="T96" s="659" t="s">
        <v>276</v>
      </c>
      <c r="U96" s="675">
        <f>Q82</f>
        <v>0</v>
      </c>
      <c r="V96" s="660"/>
      <c r="Z96" s="661"/>
      <c r="AB96" s="659"/>
      <c r="AC96" s="675"/>
      <c r="AD96" s="659"/>
    </row>
    <row r="97" spans="11:30" ht="12.75" hidden="1">
      <c r="K97" s="683" t="s">
        <v>510</v>
      </c>
      <c r="L97" s="684"/>
      <c r="M97" s="719"/>
      <c r="N97" s="719"/>
      <c r="P97" s="658" t="s">
        <v>111</v>
      </c>
      <c r="Q97" s="515">
        <f>Q85</f>
        <v>0</v>
      </c>
      <c r="R97" s="535" t="e">
        <f>Q97/Reports!$I$22</f>
        <v>#DIV/0!</v>
      </c>
      <c r="T97" s="659" t="s">
        <v>511</v>
      </c>
      <c r="U97" s="675">
        <f>SUM(U94,U95,U96)+Q85</f>
        <v>0</v>
      </c>
      <c r="V97" s="660"/>
      <c r="Z97" s="661"/>
      <c r="AB97" s="659"/>
      <c r="AC97" s="675"/>
      <c r="AD97" s="659"/>
    </row>
    <row r="98" spans="11:30" ht="12.75" hidden="1">
      <c r="K98" s="686" t="s">
        <v>172</v>
      </c>
      <c r="L98" s="687"/>
      <c r="M98" s="670" t="e">
        <f>Expenses!J49/((FarmData!$H$5+Reports!$J$20)/2)</f>
        <v>#DIV/0!</v>
      </c>
      <c r="N98" s="670" t="e">
        <f>Expenses!J49/Q81</f>
        <v>#DIV/0!</v>
      </c>
      <c r="P98" s="178"/>
      <c r="Q98" s="178"/>
      <c r="R98" s="178"/>
      <c r="T98" s="659" t="s">
        <v>431</v>
      </c>
      <c r="U98" s="675">
        <f>Q91</f>
        <v>0</v>
      </c>
      <c r="V98" s="660"/>
      <c r="Z98" s="661"/>
      <c r="AB98" s="659"/>
      <c r="AC98" s="675"/>
      <c r="AD98" s="659"/>
    </row>
    <row r="99" spans="7:30" ht="15" hidden="1">
      <c r="G99" s="698"/>
      <c r="K99" s="686" t="s">
        <v>512</v>
      </c>
      <c r="L99" s="687"/>
      <c r="M99" s="670" t="e">
        <f>Expenses!J47/((FarmData!$H$5+Reports!$J$20)/2)</f>
        <v>#DIV/0!</v>
      </c>
      <c r="N99" s="670" t="e">
        <f>Expenses!J47/Q81</f>
        <v>#DIV/0!</v>
      </c>
      <c r="T99" s="659"/>
      <c r="U99" s="675"/>
      <c r="V99" s="660"/>
      <c r="W99" s="21"/>
      <c r="Z99" s="661"/>
      <c r="AB99" s="659"/>
      <c r="AC99" s="675"/>
      <c r="AD99" s="659"/>
    </row>
    <row r="100" spans="7:29" ht="15" hidden="1">
      <c r="G100" s="698"/>
      <c r="K100" s="683" t="s">
        <v>513</v>
      </c>
      <c r="L100" s="502"/>
      <c r="M100" s="678" t="e">
        <f>Expenses!J60/((FarmData!$H$5+Reports!$J$20)/2)</f>
        <v>#DIV/0!</v>
      </c>
      <c r="N100" s="678" t="e">
        <f>Expenses!J60/Q81</f>
        <v>#DIV/0!</v>
      </c>
      <c r="P100" s="619" t="s">
        <v>514</v>
      </c>
      <c r="Q100" s="753">
        <f>FarmData!L14</f>
        <v>0</v>
      </c>
      <c r="R100" s="754"/>
      <c r="S100" s="755"/>
      <c r="T100" s="755"/>
      <c r="U100" s="755"/>
      <c r="V100" s="755"/>
      <c r="W100" s="755"/>
      <c r="X100" t="s">
        <v>515</v>
      </c>
      <c r="Y100" s="617"/>
      <c r="AC100" s="617"/>
    </row>
    <row r="101" spans="7:21" ht="15" hidden="1">
      <c r="G101" s="698"/>
      <c r="P101" t="s">
        <v>516</v>
      </c>
      <c r="Q101" s="756">
        <f>Q83+Q84+Q85+Q100</f>
        <v>0</v>
      </c>
      <c r="T101" t="s">
        <v>517</v>
      </c>
      <c r="U101" s="718" t="e">
        <f>SUM(Income!J14:J19)/(SUM(Income!G14:G17))</f>
        <v>#DIV/0!</v>
      </c>
    </row>
    <row r="102" spans="7:30" ht="15" hidden="1">
      <c r="G102" s="698"/>
      <c r="P102" t="s">
        <v>518</v>
      </c>
      <c r="Q102" s="756">
        <f>Q90-Q101</f>
        <v>0</v>
      </c>
      <c r="T102" s="665" t="s">
        <v>53</v>
      </c>
      <c r="U102" s="665" t="s">
        <v>519</v>
      </c>
      <c r="V102" s="944">
        <f>Reports!D20</f>
        <v>0</v>
      </c>
      <c r="X102" s="665" t="s">
        <v>53</v>
      </c>
      <c r="Y102" s="665" t="s">
        <v>519</v>
      </c>
      <c r="Z102" s="666">
        <f>Reports!D20</f>
        <v>0</v>
      </c>
      <c r="AB102" s="665" t="s">
        <v>53</v>
      </c>
      <c r="AC102" s="665" t="s">
        <v>520</v>
      </c>
      <c r="AD102" s="665">
        <f>Reports!D20</f>
        <v>0</v>
      </c>
    </row>
    <row r="103" spans="7:30" ht="15" hidden="1">
      <c r="G103" s="698"/>
      <c r="Q103" s="756"/>
      <c r="T103" s="665"/>
      <c r="U103" s="665" t="s">
        <v>278</v>
      </c>
      <c r="V103" s="944">
        <f>Reports!E20</f>
        <v>0</v>
      </c>
      <c r="X103" s="665"/>
      <c r="Y103" s="665" t="s">
        <v>278</v>
      </c>
      <c r="Z103" s="666">
        <f>Reports!E20</f>
        <v>0</v>
      </c>
      <c r="AB103" s="665"/>
      <c r="AC103" s="665" t="s">
        <v>278</v>
      </c>
      <c r="AD103" s="665">
        <v>0</v>
      </c>
    </row>
    <row r="104" spans="7:30" ht="15" hidden="1">
      <c r="G104" s="698"/>
      <c r="Q104" s="756"/>
      <c r="T104" s="665"/>
      <c r="U104" s="665" t="s">
        <v>257</v>
      </c>
      <c r="V104" s="944">
        <f>Income!G14</f>
        <v>0</v>
      </c>
      <c r="X104" s="665"/>
      <c r="Y104" s="665" t="s">
        <v>257</v>
      </c>
      <c r="Z104" s="666">
        <f>Income!G14</f>
        <v>0</v>
      </c>
      <c r="AB104" s="665"/>
      <c r="AC104" s="665" t="s">
        <v>639</v>
      </c>
      <c r="AD104" s="921">
        <f>Targets!U52*AD102</f>
        <v>0</v>
      </c>
    </row>
    <row r="105" spans="7:30" ht="15" hidden="1">
      <c r="G105" s="698"/>
      <c r="Q105" s="756"/>
      <c r="T105" s="665"/>
      <c r="U105" s="665" t="s">
        <v>667</v>
      </c>
      <c r="V105" s="946">
        <f>Income!G16</f>
        <v>0</v>
      </c>
      <c r="X105" s="665"/>
      <c r="Y105" s="665" t="s">
        <v>667</v>
      </c>
      <c r="Z105" s="666">
        <f>(Targets!J12*Z102)</f>
        <v>0</v>
      </c>
      <c r="AB105" s="665"/>
      <c r="AC105" s="665" t="s">
        <v>667</v>
      </c>
      <c r="AD105" s="665">
        <f>(Targets!K12*AD102)</f>
        <v>0</v>
      </c>
    </row>
    <row r="106" spans="7:30" ht="15" hidden="1">
      <c r="G106" s="698"/>
      <c r="T106" s="665"/>
      <c r="U106" s="665" t="s">
        <v>281</v>
      </c>
      <c r="V106" s="944">
        <f>FarmData!H6</f>
        <v>0</v>
      </c>
      <c r="X106" s="665"/>
      <c r="Y106" s="665" t="s">
        <v>281</v>
      </c>
      <c r="Z106" s="666">
        <f>(Z102+Z107)/2*Targets!J13</f>
        <v>0</v>
      </c>
      <c r="AB106" s="665"/>
      <c r="AC106" s="665" t="s">
        <v>281</v>
      </c>
      <c r="AD106" s="757">
        <f>AD102*Targets!K13</f>
        <v>0</v>
      </c>
    </row>
    <row r="107" spans="7:31" ht="12.75" hidden="1">
      <c r="G107" s="758"/>
      <c r="T107" s="665"/>
      <c r="U107" s="665" t="s">
        <v>643</v>
      </c>
      <c r="V107" s="944">
        <f>Reports!J20</f>
        <v>0</v>
      </c>
      <c r="X107" s="665"/>
      <c r="Y107" s="665" t="s">
        <v>643</v>
      </c>
      <c r="Z107" s="666">
        <f>Reports!J20</f>
        <v>0</v>
      </c>
      <c r="AB107" s="665"/>
      <c r="AC107" s="876" t="s">
        <v>643</v>
      </c>
      <c r="AD107" s="665">
        <f>AD102</f>
        <v>0</v>
      </c>
      <c r="AE107" s="975"/>
    </row>
    <row r="108" spans="7:31" ht="12.75" hidden="1">
      <c r="G108" s="758"/>
      <c r="T108" s="665"/>
      <c r="U108" s="665" t="s">
        <v>523</v>
      </c>
      <c r="V108" s="759">
        <f>IF((V107-V102+V104+V106+V105-V103)&lt;0,0,(V107-V102+V104+V106+V105-V103))</f>
        <v>0</v>
      </c>
      <c r="X108" s="665"/>
      <c r="Y108" s="665" t="s">
        <v>523</v>
      </c>
      <c r="Z108" s="759">
        <f>IF((Z107-Z102+Z104+Z106+Z105-Z103)&lt;0,0,(Z107-Z102+Z104+Z106+Z105-Z103))</f>
        <v>0</v>
      </c>
      <c r="AB108" s="665"/>
      <c r="AC108" s="665" t="s">
        <v>523</v>
      </c>
      <c r="AD108" s="763">
        <f>AD104+AD105+AD106</f>
        <v>0</v>
      </c>
      <c r="AE108" s="1091"/>
    </row>
    <row r="109" spans="7:30" ht="12.75" hidden="1">
      <c r="G109" s="758"/>
      <c r="T109" s="665"/>
      <c r="X109" s="665"/>
      <c r="Y109" s="665" t="s">
        <v>644</v>
      </c>
      <c r="Z109" s="962">
        <f>IF((Z107-Z102+Z104+Z106+Z105-Z103)&lt;0,(Z107-Z102+Z104+Z106+Z105-Z103)*-1,0)</f>
        <v>0</v>
      </c>
      <c r="AB109" s="665"/>
      <c r="AC109" s="1087"/>
      <c r="AD109" s="1088"/>
    </row>
    <row r="110" spans="20:28" ht="12.75" hidden="1">
      <c r="T110" s="665"/>
      <c r="U110" s="665"/>
      <c r="V110" s="878"/>
      <c r="X110" s="665"/>
      <c r="AB110" s="665"/>
    </row>
    <row r="111" spans="20:30" ht="12.75" hidden="1">
      <c r="T111" s="665" t="s">
        <v>525</v>
      </c>
      <c r="U111" s="665" t="s">
        <v>519</v>
      </c>
      <c r="V111" s="944">
        <f>Reports!D21</f>
        <v>0</v>
      </c>
      <c r="X111" s="665" t="s">
        <v>525</v>
      </c>
      <c r="Y111" s="665" t="s">
        <v>519</v>
      </c>
      <c r="Z111" s="761">
        <f>Reports!D21</f>
        <v>0</v>
      </c>
      <c r="AB111" s="665" t="s">
        <v>61</v>
      </c>
      <c r="AC111" s="665" t="s">
        <v>520</v>
      </c>
      <c r="AD111" s="939">
        <f>AD102/Targets!U9</f>
        <v>0</v>
      </c>
    </row>
    <row r="112" spans="20:30" ht="12.75" hidden="1">
      <c r="T112" s="665"/>
      <c r="U112" s="665" t="s">
        <v>521</v>
      </c>
      <c r="V112" s="944">
        <f>Reports!J21</f>
        <v>0</v>
      </c>
      <c r="X112" s="665"/>
      <c r="Y112" s="665" t="s">
        <v>521</v>
      </c>
      <c r="Z112" s="761">
        <f>Reports!J21</f>
        <v>0</v>
      </c>
      <c r="AB112" s="665"/>
      <c r="AC112" s="665" t="s">
        <v>640</v>
      </c>
      <c r="AD112" s="939">
        <f>AD111</f>
        <v>0</v>
      </c>
    </row>
    <row r="113" spans="20:30" ht="12.75" hidden="1">
      <c r="T113" s="665"/>
      <c r="U113" s="665" t="s">
        <v>278</v>
      </c>
      <c r="V113" s="944">
        <f>Reports!E21</f>
        <v>0</v>
      </c>
      <c r="X113" s="665"/>
      <c r="Y113" s="665" t="s">
        <v>278</v>
      </c>
      <c r="Z113" s="761">
        <f>Reports!E21</f>
        <v>0</v>
      </c>
      <c r="AB113" s="665"/>
      <c r="AC113" s="665" t="s">
        <v>278</v>
      </c>
      <c r="AD113" s="939">
        <v>0</v>
      </c>
    </row>
    <row r="114" spans="20:30" ht="12.75" hidden="1">
      <c r="T114" s="665"/>
      <c r="U114" s="665" t="s">
        <v>131</v>
      </c>
      <c r="V114" s="944">
        <f>Income!G15</f>
        <v>0</v>
      </c>
      <c r="X114" s="665"/>
      <c r="Y114" s="665" t="s">
        <v>131</v>
      </c>
      <c r="Z114" s="761">
        <f>Income!G15</f>
        <v>0</v>
      </c>
      <c r="AB114" s="665"/>
      <c r="AC114" s="665" t="s">
        <v>131</v>
      </c>
      <c r="AD114" s="1092">
        <f>Targets!U53*AD111</f>
        <v>0</v>
      </c>
    </row>
    <row r="115" spans="20:30" ht="12.75" hidden="1">
      <c r="T115" s="665"/>
      <c r="U115" s="665" t="s">
        <v>281</v>
      </c>
      <c r="V115" s="944">
        <f>FarmData!H13</f>
        <v>0</v>
      </c>
      <c r="X115" s="665"/>
      <c r="Y115" s="665" t="s">
        <v>281</v>
      </c>
      <c r="Z115" s="761">
        <f>((Z111+Z112)/2)*Targets!J15</f>
        <v>0</v>
      </c>
      <c r="AB115" s="665"/>
      <c r="AC115" s="665" t="s">
        <v>281</v>
      </c>
      <c r="AD115" s="938">
        <f>AD111*Targets!K15</f>
        <v>0</v>
      </c>
    </row>
    <row r="116" spans="20:30" ht="12.75" hidden="1">
      <c r="T116" s="665"/>
      <c r="U116" s="665" t="s">
        <v>522</v>
      </c>
      <c r="V116" s="944" t="e">
        <f>IF(Reports!D42-Reports!D43&lt;0,0,Reports!D42-Reports!D43)</f>
        <v>#DIV/0!</v>
      </c>
      <c r="X116" s="665"/>
      <c r="Y116" s="665" t="s">
        <v>522</v>
      </c>
      <c r="Z116" s="761" t="e">
        <f>IF(Z111*(Reports!H42-Reports!H43)&lt;0,0,Z111*(Reports!H42-Reports!H43))</f>
        <v>#DIV/0!</v>
      </c>
      <c r="AB116" s="665"/>
      <c r="AC116" s="665" t="s">
        <v>522</v>
      </c>
      <c r="AD116" s="938">
        <f>Targets!K12*AD111</f>
        <v>0</v>
      </c>
    </row>
    <row r="117" spans="20:31" ht="12.75" hidden="1">
      <c r="T117" s="665"/>
      <c r="U117" s="665" t="s">
        <v>523</v>
      </c>
      <c r="V117" s="759" t="e">
        <f>IF((V112-V111+V114+V115+V116-V113)&lt;0,0,(V112-V111+V114+V115+V116-V113))</f>
        <v>#DIV/0!</v>
      </c>
      <c r="X117" s="665"/>
      <c r="Y117" s="665" t="s">
        <v>523</v>
      </c>
      <c r="Z117" s="759" t="e">
        <f>IF((Z112-Z111+Z114+Z115+Z116-Z113)&lt;0,0,(Z112-Z111+Z114+Z115+Z116-Z113))</f>
        <v>#DIV/0!</v>
      </c>
      <c r="AB117" s="665"/>
      <c r="AC117" s="665" t="s">
        <v>524</v>
      </c>
      <c r="AD117" s="759">
        <f>SUM(AD114:AD116)</f>
        <v>0</v>
      </c>
      <c r="AE117" s="1091"/>
    </row>
    <row r="118" spans="20:30" ht="12.75" hidden="1">
      <c r="T118" s="665"/>
      <c r="U118" s="665"/>
      <c r="V118" s="944"/>
      <c r="X118" s="665"/>
      <c r="Y118" s="665" t="s">
        <v>644</v>
      </c>
      <c r="Z118" s="759" t="e">
        <f>IF((Z112-Z111+Z114+Z115+Z116-Z113)&lt;0,(Z112-Z111+Z114+Z115+Z116-Z113)*-1,0)</f>
        <v>#DIV/0!</v>
      </c>
      <c r="AB118" s="665"/>
      <c r="AC118" s="665"/>
      <c r="AD118" s="1077"/>
    </row>
    <row r="119" spans="20:30" ht="12.75" hidden="1">
      <c r="T119" s="665" t="s">
        <v>72</v>
      </c>
      <c r="U119" s="665" t="s">
        <v>519</v>
      </c>
      <c r="V119" s="944">
        <f>Reports!D22</f>
        <v>0</v>
      </c>
      <c r="X119" s="665" t="s">
        <v>72</v>
      </c>
      <c r="Y119" s="665" t="s">
        <v>519</v>
      </c>
      <c r="Z119" s="666">
        <f>Reports!D22</f>
        <v>0</v>
      </c>
      <c r="AB119" s="665" t="s">
        <v>72</v>
      </c>
      <c r="AC119" s="665" t="s">
        <v>520</v>
      </c>
      <c r="AD119" s="665">
        <v>0</v>
      </c>
    </row>
    <row r="120" spans="20:32" ht="12.75" hidden="1">
      <c r="T120" s="665"/>
      <c r="U120" s="665" t="s">
        <v>526</v>
      </c>
      <c r="V120" s="944">
        <f>FarmData!H17</f>
        <v>0</v>
      </c>
      <c r="X120" s="665"/>
      <c r="Y120" s="665" t="s">
        <v>526</v>
      </c>
      <c r="Z120" s="666">
        <f>IF(Targets!J11*Targets!J10=0,FarmData!H8*Targets!K11*Targets!K10,FarmData!H8*Targets!J11*Targets!J10)</f>
        <v>0</v>
      </c>
      <c r="AB120" s="665"/>
      <c r="AC120" s="665" t="s">
        <v>279</v>
      </c>
      <c r="AD120" s="921">
        <f>AD102*Targets!K10*Targets!K11</f>
        <v>0</v>
      </c>
      <c r="AF120" s="940"/>
    </row>
    <row r="121" spans="20:30" ht="12.75" hidden="1">
      <c r="T121" s="665"/>
      <c r="U121" s="665" t="s">
        <v>521</v>
      </c>
      <c r="V121" s="944">
        <f>Reports!J22</f>
        <v>0</v>
      </c>
      <c r="X121" s="665"/>
      <c r="Y121" s="665" t="s">
        <v>521</v>
      </c>
      <c r="Z121" s="666">
        <f>Reports!J22</f>
        <v>0</v>
      </c>
      <c r="AB121" s="665"/>
      <c r="AC121" s="665" t="s">
        <v>643</v>
      </c>
      <c r="AD121" s="665">
        <v>0</v>
      </c>
    </row>
    <row r="122" spans="20:30" ht="12.75" hidden="1">
      <c r="T122" s="665"/>
      <c r="U122" s="665" t="s">
        <v>278</v>
      </c>
      <c r="V122" s="944">
        <f>Reports!E22</f>
        <v>0</v>
      </c>
      <c r="X122" s="665"/>
      <c r="Y122" s="665" t="s">
        <v>278</v>
      </c>
      <c r="Z122" s="666">
        <f>Reports!E22</f>
        <v>0</v>
      </c>
      <c r="AB122" s="665"/>
      <c r="AC122" s="665" t="s">
        <v>278</v>
      </c>
      <c r="AD122" s="665">
        <v>0</v>
      </c>
    </row>
    <row r="123" spans="20:30" ht="12.75" hidden="1">
      <c r="T123" s="665"/>
      <c r="U123" s="665" t="s">
        <v>281</v>
      </c>
      <c r="V123" s="944">
        <f>FarmData!H20</f>
        <v>0</v>
      </c>
      <c r="X123" s="665"/>
      <c r="Y123" s="665" t="s">
        <v>281</v>
      </c>
      <c r="Z123" s="666">
        <f>IF(Targets!J17=0,Targets!K17*(Z120+Z122+Z119),Targets!J17*(Z120+Z122+Z119))</f>
        <v>0</v>
      </c>
      <c r="AB123" s="665"/>
      <c r="AC123" s="665" t="s">
        <v>281</v>
      </c>
      <c r="AD123" s="666">
        <f>AD120*Targets!K17</f>
        <v>0</v>
      </c>
    </row>
    <row r="124" spans="20:30" ht="12.75" hidden="1">
      <c r="T124" s="665"/>
      <c r="U124" s="665" t="s">
        <v>280</v>
      </c>
      <c r="V124" s="666" t="e">
        <f>V108+V117</f>
        <v>#DIV/0!</v>
      </c>
      <c r="X124" s="665"/>
      <c r="Y124" s="665" t="s">
        <v>280</v>
      </c>
      <c r="Z124" s="666" t="e">
        <f>Z108+Z117</f>
        <v>#DIV/0!</v>
      </c>
      <c r="AB124" s="665"/>
      <c r="AC124" s="665" t="s">
        <v>280</v>
      </c>
      <c r="AD124" s="666">
        <f>AD108+AD117</f>
        <v>0</v>
      </c>
    </row>
    <row r="125" spans="20:30" ht="12.75" hidden="1">
      <c r="T125" s="665"/>
      <c r="U125" s="665" t="s">
        <v>527</v>
      </c>
      <c r="V125" s="666">
        <f>V120-V123</f>
        <v>0</v>
      </c>
      <c r="X125" s="665"/>
      <c r="Y125" s="665" t="s">
        <v>527</v>
      </c>
      <c r="Z125" s="666">
        <f>Z120-Z123</f>
        <v>0</v>
      </c>
      <c r="AB125" s="665"/>
      <c r="AC125" s="665" t="s">
        <v>642</v>
      </c>
      <c r="AD125" s="666">
        <f>AD120-AD123</f>
        <v>0</v>
      </c>
    </row>
    <row r="126" spans="20:32" ht="12.75" hidden="1">
      <c r="T126" s="876"/>
      <c r="U126" s="876"/>
      <c r="V126">
        <f>V119-V121</f>
        <v>0</v>
      </c>
      <c r="X126" s="876"/>
      <c r="Y126" s="876" t="s">
        <v>666</v>
      </c>
      <c r="Z126">
        <f>Z119-Z121</f>
        <v>0</v>
      </c>
      <c r="AB126" s="665"/>
      <c r="AC126" s="968" t="s">
        <v>651</v>
      </c>
      <c r="AD126">
        <f>AD119-AD121</f>
        <v>0</v>
      </c>
      <c r="AF126" s="21"/>
    </row>
    <row r="127" spans="20:30" ht="12.75" hidden="1">
      <c r="T127" s="876"/>
      <c r="U127" s="665" t="s">
        <v>528</v>
      </c>
      <c r="V127" s="762">
        <f>V120-V123</f>
        <v>0</v>
      </c>
      <c r="X127" s="876"/>
      <c r="Y127" s="665" t="s">
        <v>528</v>
      </c>
      <c r="Z127" s="762">
        <f>Z120-Z123</f>
        <v>0</v>
      </c>
      <c r="AB127" s="665"/>
      <c r="AC127" s="665" t="s">
        <v>528</v>
      </c>
      <c r="AD127" s="920">
        <f>AD120-AD123</f>
        <v>0</v>
      </c>
    </row>
    <row r="128" spans="20:30" ht="12.75" hidden="1">
      <c r="T128" s="665"/>
      <c r="U128" s="665" t="s">
        <v>10</v>
      </c>
      <c r="V128" s="763" t="e">
        <f>V119-V121+V127-V124+V122</f>
        <v>#DIV/0!</v>
      </c>
      <c r="X128" s="665"/>
      <c r="Y128" s="665" t="s">
        <v>10</v>
      </c>
      <c r="Z128" s="763" t="e">
        <f>Z119-Z121+Z127-Z108-Z117+Z122</f>
        <v>#DIV/0!</v>
      </c>
      <c r="AB128" s="665"/>
      <c r="AC128" s="665" t="s">
        <v>10</v>
      </c>
      <c r="AD128" s="763">
        <f>AD119-AD121+AD127-AD108-AD117+AD122</f>
        <v>0</v>
      </c>
    </row>
    <row r="129" spans="20:30" ht="12.75" hidden="1">
      <c r="T129" s="665"/>
      <c r="U129" s="876"/>
      <c r="V129" s="945"/>
      <c r="X129" s="665"/>
      <c r="Y129" s="876"/>
      <c r="Z129" s="666"/>
      <c r="AB129" s="665"/>
      <c r="AC129" s="1089"/>
      <c r="AD129" s="1090"/>
    </row>
    <row r="130" spans="20:30" ht="12.75" hidden="1">
      <c r="T130" s="665"/>
      <c r="U130" s="876"/>
      <c r="V130" s="944"/>
      <c r="X130" s="665"/>
      <c r="Y130" s="876"/>
      <c r="Z130" s="666"/>
      <c r="AB130" s="665"/>
      <c r="AC130" s="665"/>
      <c r="AD130" s="665"/>
    </row>
    <row r="131" spans="20:30" ht="12.75" hidden="1">
      <c r="T131" s="665" t="s">
        <v>529</v>
      </c>
      <c r="U131" s="665">
        <f>Welcome!D23</f>
        <v>0</v>
      </c>
      <c r="V131" s="944"/>
      <c r="X131" s="665" t="s">
        <v>529</v>
      </c>
      <c r="Y131" s="665" t="str">
        <f>Welcome!H23</f>
        <v>Lambs Sold</v>
      </c>
      <c r="Z131" s="764" t="e">
        <f>IF(Welcome!H23="Lambs Sold",Z128,Z127)</f>
        <v>#DIV/0!</v>
      </c>
      <c r="AB131" s="665" t="s">
        <v>529</v>
      </c>
      <c r="AC131" s="665" t="str">
        <f>Welcome!H23</f>
        <v>Lambs Sold</v>
      </c>
      <c r="AD131" s="765">
        <f>IF(Welcome!H23="Lambs Sold",AD128,AD127)</f>
        <v>0</v>
      </c>
    </row>
    <row r="132" spans="18:32" ht="12.75" hidden="1">
      <c r="R132" t="s">
        <v>163</v>
      </c>
      <c r="T132" t="s">
        <v>149</v>
      </c>
      <c r="U132" t="s">
        <v>612</v>
      </c>
      <c r="V132" t="s">
        <v>617</v>
      </c>
      <c r="X132" s="665" t="s">
        <v>562</v>
      </c>
      <c r="Y132" s="665" t="s">
        <v>530</v>
      </c>
      <c r="Z132" s="665"/>
      <c r="AB132" s="665"/>
      <c r="AC132" s="665"/>
      <c r="AD132" s="876" t="s">
        <v>616</v>
      </c>
      <c r="AE132" t="s">
        <v>253</v>
      </c>
      <c r="AF132" t="s">
        <v>620</v>
      </c>
    </row>
    <row r="133" spans="16:32" ht="12.75" hidden="1">
      <c r="P133" s="665" t="s">
        <v>530</v>
      </c>
      <c r="Q133" s="876" t="s">
        <v>604</v>
      </c>
      <c r="R133" s="880">
        <f>Income!G9</f>
        <v>0</v>
      </c>
      <c r="T133" s="879">
        <f>Income!J9</f>
        <v>0</v>
      </c>
      <c r="U133" s="1040" t="e">
        <f>R133/$R$138</f>
        <v>#DIV/0!</v>
      </c>
      <c r="V133" s="882" t="e">
        <f aca="true" t="shared" si="1" ref="V133:V138">T133/$T$138</f>
        <v>#DIV/0!</v>
      </c>
      <c r="X133" s="921" t="e">
        <f>U133*$Z$128</f>
        <v>#DIV/0!</v>
      </c>
      <c r="Y133" s="665" t="s">
        <v>531</v>
      </c>
      <c r="Z133" s="766" t="e">
        <f>IF(Targets!J20=0,Targets!K20*U133*$Z$128,Targets!J20*U133*$Z$128)</f>
        <v>#DIV/0!</v>
      </c>
      <c r="AB133" s="665" t="s">
        <v>532</v>
      </c>
      <c r="AC133" s="665" t="s">
        <v>531</v>
      </c>
      <c r="AD133" s="1066">
        <f>Targets!U47*$AD$128</f>
        <v>0</v>
      </c>
      <c r="AE133" s="885">
        <f>Targets!U20*$AD$133</f>
        <v>0</v>
      </c>
      <c r="AF133" s="886">
        <f>IF(AE133=0,0,AE133/AD133)</f>
        <v>0</v>
      </c>
    </row>
    <row r="134" spans="16:32" ht="12.75" hidden="1">
      <c r="P134" s="768"/>
      <c r="Q134" s="876" t="s">
        <v>605</v>
      </c>
      <c r="R134" s="880">
        <f>Income!G10</f>
        <v>0</v>
      </c>
      <c r="T134" s="879">
        <f>Income!J10</f>
        <v>0</v>
      </c>
      <c r="U134" s="882" t="e">
        <f>R134/$R$138</f>
        <v>#DIV/0!</v>
      </c>
      <c r="V134" s="882" t="e">
        <f t="shared" si="1"/>
        <v>#DIV/0!</v>
      </c>
      <c r="X134" s="921" t="e">
        <f>U134*$Z$128</f>
        <v>#DIV/0!</v>
      </c>
      <c r="Y134" s="665" t="s">
        <v>533</v>
      </c>
      <c r="Z134" s="766" t="e">
        <f>IF(Targets!J21=0,Targets!K21*U134*$Z$128,Targets!J21*U134*$Z$128)</f>
        <v>#DIV/0!</v>
      </c>
      <c r="AB134" s="665"/>
      <c r="AC134" s="665" t="s">
        <v>533</v>
      </c>
      <c r="AD134" s="1066">
        <f>Targets!U48*$AD$128</f>
        <v>0</v>
      </c>
      <c r="AE134" s="885">
        <f>Targets!U21*$AD$134</f>
        <v>0</v>
      </c>
      <c r="AF134" s="886">
        <f>IF(AE134=0,0,AE134/AD134)</f>
        <v>0</v>
      </c>
    </row>
    <row r="135" spans="16:32" ht="12.75" hidden="1">
      <c r="P135" s="768"/>
      <c r="Q135" s="770" t="s">
        <v>535</v>
      </c>
      <c r="R135" s="880">
        <f>Income!G11</f>
        <v>0</v>
      </c>
      <c r="T135" s="879">
        <f>Income!J11</f>
        <v>0</v>
      </c>
      <c r="U135" s="882" t="e">
        <f>R135/$R$138</f>
        <v>#DIV/0!</v>
      </c>
      <c r="V135" s="882" t="e">
        <f t="shared" si="1"/>
        <v>#DIV/0!</v>
      </c>
      <c r="X135" s="921" t="e">
        <f>U135*$Z$128</f>
        <v>#DIV/0!</v>
      </c>
      <c r="Y135" s="770" t="s">
        <v>535</v>
      </c>
      <c r="Z135" s="766" t="e">
        <f>IF(Targets!J22=0,Targets!K22*U135*$Z$128,Targets!J22*U135*$Z$128)</f>
        <v>#DIV/0!</v>
      </c>
      <c r="AB135" s="665"/>
      <c r="AC135" s="770" t="s">
        <v>535</v>
      </c>
      <c r="AD135" s="1066">
        <f>Targets!U49*$AD$128</f>
        <v>0</v>
      </c>
      <c r="AE135" s="885">
        <f>Targets!U22*$AD$135</f>
        <v>0</v>
      </c>
      <c r="AF135" s="886">
        <f>IF(AE135=0,0,AE135/AD135)</f>
        <v>0</v>
      </c>
    </row>
    <row r="136" spans="16:32" ht="12.75" hidden="1">
      <c r="P136" s="768"/>
      <c r="Q136" s="877" t="s">
        <v>606</v>
      </c>
      <c r="R136" s="880">
        <f>Income!G12</f>
        <v>0</v>
      </c>
      <c r="T136" s="879">
        <f>Income!J12</f>
        <v>0</v>
      </c>
      <c r="U136" s="882" t="e">
        <f>R136/$R$138</f>
        <v>#DIV/0!</v>
      </c>
      <c r="V136" s="882" t="e">
        <f t="shared" si="1"/>
        <v>#DIV/0!</v>
      </c>
      <c r="X136" s="921" t="e">
        <f>U136*$Z$128</f>
        <v>#DIV/0!</v>
      </c>
      <c r="Y136" s="770" t="s">
        <v>536</v>
      </c>
      <c r="Z136" s="766" t="e">
        <f>IF(Targets!J23=0,Targets!K23*U136*$Z$128,Targets!J23*U136*$Z$128)</f>
        <v>#DIV/0!</v>
      </c>
      <c r="AB136" s="665"/>
      <c r="AC136" s="770" t="s">
        <v>536</v>
      </c>
      <c r="AD136" s="1066">
        <f>Targets!U50*$AD$128</f>
        <v>0</v>
      </c>
      <c r="AE136" s="885">
        <f>Targets!U23*$AD$136</f>
        <v>0</v>
      </c>
      <c r="AF136" s="886">
        <f>IF(AE136=0,0,AE136/AD136)</f>
        <v>0</v>
      </c>
    </row>
    <row r="137" spans="16:32" ht="12.75" hidden="1">
      <c r="P137" s="665"/>
      <c r="Q137" s="877" t="s">
        <v>607</v>
      </c>
      <c r="R137" s="880">
        <f>Income!G13</f>
        <v>0</v>
      </c>
      <c r="T137" s="879">
        <f>Income!J13</f>
        <v>0</v>
      </c>
      <c r="U137" s="882" t="e">
        <f>R137/$R$138</f>
        <v>#DIV/0!</v>
      </c>
      <c r="V137" s="882" t="e">
        <f t="shared" si="1"/>
        <v>#DIV/0!</v>
      </c>
      <c r="X137" s="921" t="e">
        <f>U137*$Z$128</f>
        <v>#DIV/0!</v>
      </c>
      <c r="Y137" s="770" t="s">
        <v>537</v>
      </c>
      <c r="Z137" s="766" t="e">
        <f>IF(Targets!J24=0,Targets!K24*U137*$Z$128,Targets!J24*U137*$Z$128)</f>
        <v>#DIV/0!</v>
      </c>
      <c r="AB137" s="665"/>
      <c r="AC137" s="770" t="s">
        <v>537</v>
      </c>
      <c r="AD137" s="1066">
        <f>Targets!U51*$AD$128</f>
        <v>0</v>
      </c>
      <c r="AE137" s="885">
        <f>Targets!U24*$AD$137</f>
        <v>0</v>
      </c>
      <c r="AF137" s="886">
        <f>IF(AE137=0,0,AE137/AD137)</f>
        <v>0</v>
      </c>
    </row>
    <row r="138" spans="16:32" ht="12.75" hidden="1">
      <c r="P138" s="665"/>
      <c r="Q138" s="877" t="s">
        <v>613</v>
      </c>
      <c r="R138" s="881">
        <f>SUM(R133:R137)</f>
        <v>0</v>
      </c>
      <c r="T138" s="879">
        <f>SUM(T133:T137)</f>
        <v>0</v>
      </c>
      <c r="U138" s="882" t="e">
        <f>SUM(U133:U137)</f>
        <v>#DIV/0!</v>
      </c>
      <c r="V138" s="882" t="e">
        <f t="shared" si="1"/>
        <v>#DIV/0!</v>
      </c>
      <c r="X138" s="921" t="e">
        <f>SUM(X133:X137)</f>
        <v>#DIV/0!</v>
      </c>
      <c r="Y138" s="770" t="s">
        <v>538</v>
      </c>
      <c r="Z138" s="771" t="e">
        <f>SUM(Z133:Z137)</f>
        <v>#DIV/0!</v>
      </c>
      <c r="AB138" s="665"/>
      <c r="AC138" s="877" t="s">
        <v>538</v>
      </c>
      <c r="AD138" s="1067">
        <f>SUM(AD133:AD137)</f>
        <v>0</v>
      </c>
      <c r="AE138" s="888">
        <f>SUM(AE133:AE137)</f>
        <v>0</v>
      </c>
      <c r="AF138" s="886" t="e">
        <f>AE138/AD138</f>
        <v>#DIV/0!</v>
      </c>
    </row>
    <row r="139" spans="16:30" ht="12.75" hidden="1">
      <c r="P139" s="665"/>
      <c r="Q139" s="877" t="s">
        <v>619</v>
      </c>
      <c r="R139" s="771"/>
      <c r="T139" s="878"/>
      <c r="U139" s="882" t="e">
        <f>T138/T147</f>
        <v>#DIV/0!</v>
      </c>
      <c r="V139" s="882"/>
      <c r="X139" s="665"/>
      <c r="AB139" s="665"/>
      <c r="AC139" s="770"/>
      <c r="AD139" s="888"/>
    </row>
    <row r="140" spans="16:32" ht="12.75" hidden="1">
      <c r="P140" s="665"/>
      <c r="Q140" s="877" t="s">
        <v>608</v>
      </c>
      <c r="R140" s="881">
        <f>Income!G14</f>
        <v>0</v>
      </c>
      <c r="T140" s="879">
        <f>Income!J14</f>
        <v>0</v>
      </c>
      <c r="U140" s="882">
        <f>IF(R142=0,0,R140/$R$144)</f>
        <v>0</v>
      </c>
      <c r="V140" s="882" t="e">
        <f aca="true" t="shared" si="2" ref="V140:V146">T140/$T$147</f>
        <v>#DIV/0!</v>
      </c>
      <c r="X140" s="665"/>
      <c r="Y140" s="770" t="s">
        <v>539</v>
      </c>
      <c r="Z140" s="771">
        <f>IF(Targets!J25=0,Targets!K25*Income!G14,Targets!J25*Income!G14)</f>
        <v>0</v>
      </c>
      <c r="AB140" s="665"/>
      <c r="AC140" s="770" t="s">
        <v>539</v>
      </c>
      <c r="AD140" s="883">
        <f>AD102*Targets!U52</f>
        <v>0</v>
      </c>
      <c r="AE140" s="886">
        <f>AD140*Targets!U25</f>
        <v>0</v>
      </c>
      <c r="AF140" s="886">
        <f>IF(AE140=0,0,AE140/AD140)</f>
        <v>0</v>
      </c>
    </row>
    <row r="141" spans="16:32" ht="12.75" hidden="1">
      <c r="P141" s="665"/>
      <c r="Q141" s="877" t="s">
        <v>609</v>
      </c>
      <c r="R141" s="881">
        <f>Income!G15</f>
        <v>0</v>
      </c>
      <c r="T141" s="879">
        <f>Income!J15</f>
        <v>0</v>
      </c>
      <c r="U141" s="882">
        <f>IF(R145=0,0,R141/$R$145)</f>
        <v>0</v>
      </c>
      <c r="V141" s="882" t="e">
        <f t="shared" si="2"/>
        <v>#DIV/0!</v>
      </c>
      <c r="X141" s="665"/>
      <c r="Y141" s="770" t="s">
        <v>540</v>
      </c>
      <c r="Z141" s="771">
        <f>IF(Targets!J26=0,Targets!K26*Income!G15,Targets!J26*Income!G15)</f>
        <v>0</v>
      </c>
      <c r="AB141" s="665"/>
      <c r="AC141" s="770" t="s">
        <v>540</v>
      </c>
      <c r="AD141" s="883">
        <f>AD111*Targets!U53</f>
        <v>0</v>
      </c>
      <c r="AE141" s="886">
        <f>AD141*Targets!U26</f>
        <v>0</v>
      </c>
      <c r="AF141" s="886">
        <f>IF(AE141=0,0,AE141/AD141)</f>
        <v>0</v>
      </c>
    </row>
    <row r="142" spans="16:32" ht="12.75" hidden="1">
      <c r="P142" s="665"/>
      <c r="Q142" s="877" t="s">
        <v>610</v>
      </c>
      <c r="R142" s="881">
        <f>Income!G16</f>
        <v>0</v>
      </c>
      <c r="T142" s="879">
        <f>Income!J16</f>
        <v>0</v>
      </c>
      <c r="U142" s="882">
        <f>IF(R142=0,0,R142/$R$144)</f>
        <v>0</v>
      </c>
      <c r="V142" s="882" t="e">
        <f t="shared" si="2"/>
        <v>#DIV/0!</v>
      </c>
      <c r="X142" s="665"/>
      <c r="Y142" s="770" t="s">
        <v>541</v>
      </c>
      <c r="Z142" s="771">
        <f>IF(Targets!J27=0,Targets!K27*Income!G16,Targets!J27*Income!G16)</f>
        <v>0</v>
      </c>
      <c r="AB142" s="772"/>
      <c r="AC142" s="770" t="s">
        <v>541</v>
      </c>
      <c r="AD142" s="883">
        <f>AD105</f>
        <v>0</v>
      </c>
      <c r="AE142" s="886">
        <f>AD142*Targets!U27</f>
        <v>0</v>
      </c>
      <c r="AF142" s="886">
        <f>IF(AE142=0,0,AE142/AD142)</f>
        <v>0</v>
      </c>
    </row>
    <row r="143" spans="16:32" ht="12.75" hidden="1">
      <c r="P143" s="665"/>
      <c r="Q143" s="877" t="s">
        <v>611</v>
      </c>
      <c r="R143" s="881">
        <f>Income!G17</f>
        <v>0</v>
      </c>
      <c r="T143" s="879">
        <f>Income!J17</f>
        <v>0</v>
      </c>
      <c r="U143" s="882">
        <f>IF(R145=0,0,R143/$R$145)</f>
        <v>0</v>
      </c>
      <c r="V143" s="882" t="e">
        <f t="shared" si="2"/>
        <v>#DIV/0!</v>
      </c>
      <c r="X143" s="665"/>
      <c r="Y143" s="770" t="s">
        <v>542</v>
      </c>
      <c r="Z143" s="771">
        <f>IF(Targets!J28=0,Targets!K28*Income!G17,Targets!J28*Income!G17)</f>
        <v>0</v>
      </c>
      <c r="AB143" s="772"/>
      <c r="AC143" s="770" t="s">
        <v>542</v>
      </c>
      <c r="AD143" s="883">
        <f>AD116</f>
        <v>0</v>
      </c>
      <c r="AE143" s="886">
        <f>AD143*Targets!U28</f>
        <v>0</v>
      </c>
      <c r="AF143" s="886">
        <f>IF(AE143=0,0,AE143/AD143)</f>
        <v>0</v>
      </c>
    </row>
    <row r="144" spans="16:31" ht="12.75" hidden="1">
      <c r="P144" s="665"/>
      <c r="Q144" s="877" t="s">
        <v>614</v>
      </c>
      <c r="R144" s="881">
        <f>R140+R142</f>
        <v>0</v>
      </c>
      <c r="T144" s="888">
        <f>T140+T142</f>
        <v>0</v>
      </c>
      <c r="U144" s="883">
        <f>U140+U142</f>
        <v>0</v>
      </c>
      <c r="V144" s="882" t="e">
        <f t="shared" si="2"/>
        <v>#DIV/0!</v>
      </c>
      <c r="X144" s="665"/>
      <c r="Y144" s="665" t="s">
        <v>729</v>
      </c>
      <c r="Z144" s="766">
        <f>SUM(Z140:Z143)</f>
        <v>0</v>
      </c>
      <c r="AB144" s="772"/>
      <c r="AC144" s="665" t="s">
        <v>618</v>
      </c>
      <c r="AD144" s="881"/>
      <c r="AE144" s="886">
        <f>Targets!U29*AD102</f>
        <v>0</v>
      </c>
    </row>
    <row r="145" spans="16:31" ht="12.75" hidden="1">
      <c r="P145" s="665"/>
      <c r="Q145" s="876" t="s">
        <v>615</v>
      </c>
      <c r="R145" s="880">
        <f>R141+R143</f>
        <v>0</v>
      </c>
      <c r="T145" s="885">
        <f>T141+T143</f>
        <v>0</v>
      </c>
      <c r="U145" s="884">
        <f>U141+U143</f>
        <v>0</v>
      </c>
      <c r="V145" s="882" t="e">
        <f t="shared" si="2"/>
        <v>#DIV/0!</v>
      </c>
      <c r="X145" s="665"/>
      <c r="Y145" s="665" t="s">
        <v>638</v>
      </c>
      <c r="Z145" s="972">
        <f>Income!J18+Income!J19</f>
        <v>0</v>
      </c>
      <c r="AB145" s="772"/>
      <c r="AC145" s="1104" t="s">
        <v>730</v>
      </c>
      <c r="AE145" s="886">
        <f>SUM(AE140:AE144)</f>
        <v>0</v>
      </c>
    </row>
    <row r="146" spans="16:30" ht="12.75" hidden="1">
      <c r="P146" s="665"/>
      <c r="Q146" s="876" t="s">
        <v>618</v>
      </c>
      <c r="R146" s="767" t="s">
        <v>84</v>
      </c>
      <c r="T146" s="879">
        <f>Income!J18+Income!J19</f>
        <v>0</v>
      </c>
      <c r="U146" s="882" t="e">
        <f>T146/T147</f>
        <v>#DIV/0!</v>
      </c>
      <c r="V146" s="882" t="e">
        <f t="shared" si="2"/>
        <v>#DIV/0!</v>
      </c>
      <c r="X146" s="665"/>
      <c r="Y146" s="665" t="s">
        <v>136</v>
      </c>
      <c r="Z146" s="1076" t="e">
        <f>Z138+Z144+Z145</f>
        <v>#DIV/0!</v>
      </c>
      <c r="AB146" s="665"/>
      <c r="AC146" s="772"/>
      <c r="AD146" s="772"/>
    </row>
    <row r="147" spans="17:31" ht="12.75" hidden="1">
      <c r="Q147" s="887" t="s">
        <v>136</v>
      </c>
      <c r="R147" s="767"/>
      <c r="T147" s="879">
        <f>T138+T144+T145+T146</f>
        <v>0</v>
      </c>
      <c r="U147" s="882"/>
      <c r="V147" s="882"/>
      <c r="Y147" t="s">
        <v>534</v>
      </c>
      <c r="Z147" s="1103" t="e">
        <f>Z146/Z131</f>
        <v>#DIV/0!</v>
      </c>
      <c r="AB147" s="665"/>
      <c r="AC147" s="665" t="s">
        <v>136</v>
      </c>
      <c r="AD147" s="1076">
        <f>AE145+AE138</f>
        <v>0</v>
      </c>
      <c r="AE147" s="889"/>
    </row>
    <row r="148" spans="24:30" ht="12.75" hidden="1">
      <c r="X148" s="665"/>
      <c r="Y148" s="876"/>
      <c r="Z148" s="666"/>
      <c r="AB148" s="665"/>
      <c r="AC148" s="665" t="s">
        <v>534</v>
      </c>
      <c r="AD148" s="769" t="e">
        <f>AD147/AD131</f>
        <v>#DIV/0!</v>
      </c>
    </row>
    <row r="149" spans="24:30" ht="12.75" hidden="1">
      <c r="X149" s="665" t="s">
        <v>26</v>
      </c>
      <c r="Y149" s="665" t="s">
        <v>543</v>
      </c>
      <c r="Z149" s="773">
        <f>Z159</f>
        <v>0</v>
      </c>
      <c r="AB149" s="665" t="s">
        <v>26</v>
      </c>
      <c r="AC149" s="772"/>
      <c r="AD149" s="665"/>
    </row>
    <row r="150" spans="20:30" ht="12.75" hidden="1">
      <c r="T150" s="878" t="s">
        <v>669</v>
      </c>
      <c r="U150" s="878"/>
      <c r="V150" s="878"/>
      <c r="X150" s="1269"/>
      <c r="Y150" s="1269"/>
      <c r="Z150" s="1077"/>
      <c r="AB150" s="1269"/>
      <c r="AC150" s="1269"/>
      <c r="AD150" s="1093"/>
    </row>
    <row r="151" spans="16:30" ht="12.75" hidden="1">
      <c r="P151" s="1266" t="s">
        <v>544</v>
      </c>
      <c r="Q151" s="1266"/>
      <c r="R151" s="774" t="e">
        <f>((2.5-Targets!I10)*0.57)+(Targets!I10-1.5)*0.45</f>
        <v>#DIV/0!</v>
      </c>
      <c r="T151" s="878" t="s">
        <v>562</v>
      </c>
      <c r="U151" s="878"/>
      <c r="V151" s="878"/>
      <c r="X151" s="1269"/>
      <c r="Y151" s="1269"/>
      <c r="Z151" s="1077"/>
      <c r="AB151" s="1269"/>
      <c r="AC151" s="1269"/>
      <c r="AD151" s="1094"/>
    </row>
    <row r="152" spans="16:30" ht="12.75" hidden="1">
      <c r="P152" s="1266" t="s">
        <v>545</v>
      </c>
      <c r="Q152" s="1266"/>
      <c r="R152" s="774" t="e">
        <f>1-R151</f>
        <v>#DIV/0!</v>
      </c>
      <c r="T152" s="878"/>
      <c r="U152" s="878" t="s">
        <v>546</v>
      </c>
      <c r="V152" s="879" t="e">
        <f>V154/V127</f>
        <v>#DIV/0!</v>
      </c>
      <c r="X152" s="665" t="s">
        <v>140</v>
      </c>
      <c r="Y152" s="665" t="s">
        <v>546</v>
      </c>
      <c r="Z152" s="776">
        <f>IF(Targets!J31=0,Targets!K31,Targets!J31)</f>
        <v>32.5</v>
      </c>
      <c r="AB152" s="665" t="s">
        <v>140</v>
      </c>
      <c r="AC152" s="665" t="s">
        <v>547</v>
      </c>
      <c r="AD152" s="1076">
        <f>SUM(AD154:AD157)</f>
        <v>0</v>
      </c>
    </row>
    <row r="153" spans="16:30" ht="12.75" hidden="1">
      <c r="P153" s="1266"/>
      <c r="Q153" s="1266"/>
      <c r="R153" s="774"/>
      <c r="T153" s="878"/>
      <c r="U153" s="878" t="s">
        <v>548</v>
      </c>
      <c r="V153" s="879" t="e">
        <f>V157/T157</f>
        <v>#DIV/0!</v>
      </c>
      <c r="X153" s="665"/>
      <c r="Y153" s="665" t="s">
        <v>548</v>
      </c>
      <c r="Z153" s="776">
        <f>IF(Targets!J32=0,Targets!K32,Targets!J32)</f>
        <v>60</v>
      </c>
      <c r="AB153" s="665"/>
      <c r="AC153" s="665"/>
      <c r="AD153" s="760"/>
    </row>
    <row r="154" spans="20:31" ht="12.75" hidden="1">
      <c r="T154" s="944">
        <f>V127</f>
        <v>0</v>
      </c>
      <c r="U154" s="878" t="s">
        <v>653</v>
      </c>
      <c r="V154" s="879" t="e">
        <f>(T154/T158)*V158</f>
        <v>#DIV/0!</v>
      </c>
      <c r="X154" s="972"/>
      <c r="Y154" s="968" t="s">
        <v>653</v>
      </c>
      <c r="Z154" s="974">
        <f>Z127*Z152</f>
        <v>0</v>
      </c>
      <c r="AB154" s="665"/>
      <c r="AC154" s="969" t="s">
        <v>653</v>
      </c>
      <c r="AD154" s="775">
        <f>AD127*Targets!K31</f>
        <v>0</v>
      </c>
      <c r="AE154" s="890"/>
    </row>
    <row r="155" spans="20:32" ht="12.75" hidden="1">
      <c r="T155" s="944">
        <f>V123*AF155</f>
        <v>0</v>
      </c>
      <c r="U155" s="878" t="s">
        <v>654</v>
      </c>
      <c r="V155" s="879" t="e">
        <f>(T155/T158)*V158</f>
        <v>#DIV/0!</v>
      </c>
      <c r="X155" s="665"/>
      <c r="Y155" s="665" t="s">
        <v>654</v>
      </c>
      <c r="Z155" s="776">
        <f>Z123*Z152*AF155</f>
        <v>0</v>
      </c>
      <c r="AB155" s="665"/>
      <c r="AC155" s="970" t="s">
        <v>654</v>
      </c>
      <c r="AD155" s="775">
        <f>(AD123*Targets!K31)*AF155</f>
        <v>0</v>
      </c>
      <c r="AE155" s="889" t="s">
        <v>655</v>
      </c>
      <c r="AF155" s="1070">
        <v>0.25</v>
      </c>
    </row>
    <row r="156" spans="20:32" ht="12.75" hidden="1">
      <c r="T156" s="944">
        <f>V126*AF156</f>
        <v>0</v>
      </c>
      <c r="U156" s="878" t="s">
        <v>657</v>
      </c>
      <c r="V156" s="879" t="e">
        <f>(T156/T158)*V158</f>
        <v>#DIV/0!</v>
      </c>
      <c r="X156" s="665"/>
      <c r="Y156" s="665" t="s">
        <v>657</v>
      </c>
      <c r="Z156" s="776">
        <f>Z126*Z152*AF156</f>
        <v>0</v>
      </c>
      <c r="AB156" s="665"/>
      <c r="AC156" s="971" t="s">
        <v>657</v>
      </c>
      <c r="AD156" s="972">
        <f>AD126*Targets!K31*AF156</f>
        <v>0</v>
      </c>
      <c r="AE156" t="s">
        <v>652</v>
      </c>
      <c r="AF156" s="1070">
        <v>0.9</v>
      </c>
    </row>
    <row r="157" spans="20:30" ht="12.75" hidden="1">
      <c r="T157" s="944">
        <f>Targets!N62</f>
        <v>0</v>
      </c>
      <c r="U157" s="878" t="s">
        <v>668</v>
      </c>
      <c r="V157" s="879" t="e">
        <f>V159*R151</f>
        <v>#DIV/0!</v>
      </c>
      <c r="X157" s="665"/>
      <c r="Y157" s="665" t="s">
        <v>656</v>
      </c>
      <c r="Z157" s="776">
        <f>Targets!N62*Z153</f>
        <v>0</v>
      </c>
      <c r="AB157" s="665"/>
      <c r="AC157" s="971" t="s">
        <v>656</v>
      </c>
      <c r="AD157" s="972">
        <f>Targets!K32*(AD102+AD111)</f>
        <v>0</v>
      </c>
    </row>
    <row r="158" spans="20:30" ht="12.75" hidden="1">
      <c r="T158" s="878">
        <f>SUM(T154:T156)</f>
        <v>0</v>
      </c>
      <c r="U158" s="878" t="s">
        <v>670</v>
      </c>
      <c r="V158" s="879" t="e">
        <f>R152*V159</f>
        <v>#DIV/0!</v>
      </c>
      <c r="X158" s="665"/>
      <c r="Y158" s="665"/>
      <c r="AB158" s="665"/>
      <c r="AC158" s="665"/>
      <c r="AD158" s="665"/>
    </row>
    <row r="159" spans="20:30" ht="12.75" hidden="1">
      <c r="T159" s="878"/>
      <c r="U159" s="878" t="s">
        <v>147</v>
      </c>
      <c r="V159" s="879">
        <f>Expenses!J16</f>
        <v>0</v>
      </c>
      <c r="X159" s="665"/>
      <c r="Y159" s="665" t="s">
        <v>147</v>
      </c>
      <c r="Z159" s="775">
        <f>SUM(Z154:Z157)</f>
        <v>0</v>
      </c>
      <c r="AB159" s="665"/>
      <c r="AC159" s="665"/>
      <c r="AD159" s="665"/>
    </row>
    <row r="160" spans="20:30" ht="12.75" hidden="1">
      <c r="T160" s="878"/>
      <c r="U160" s="878"/>
      <c r="V160" s="878"/>
      <c r="X160" s="665"/>
      <c r="Y160" s="665"/>
      <c r="Z160" s="665"/>
      <c r="AB160" s="665"/>
      <c r="AC160" s="665"/>
      <c r="AD160" s="665"/>
    </row>
    <row r="161" spans="24:30" ht="12.75" hidden="1">
      <c r="X161" s="665" t="s">
        <v>86</v>
      </c>
      <c r="Y161" s="665"/>
      <c r="Z161" s="665"/>
      <c r="AB161" s="665" t="s">
        <v>86</v>
      </c>
      <c r="AC161" s="665" t="s">
        <v>428</v>
      </c>
      <c r="AD161" s="1076">
        <f>Targets!U41*AD162</f>
        <v>0</v>
      </c>
    </row>
    <row r="162" spans="22:30" ht="12.75" hidden="1">
      <c r="V162" s="886"/>
      <c r="X162" s="665"/>
      <c r="Y162" s="665"/>
      <c r="Z162" s="665"/>
      <c r="AB162" s="665"/>
      <c r="AC162" s="665" t="s">
        <v>549</v>
      </c>
      <c r="AD162" s="973">
        <f>SUM(AD164:AD167)</f>
        <v>0</v>
      </c>
    </row>
    <row r="163" spans="24:30" ht="12.75" hidden="1">
      <c r="X163" s="665"/>
      <c r="Y163" s="665"/>
      <c r="Z163" s="665"/>
      <c r="AB163" s="665"/>
      <c r="AC163" s="665"/>
      <c r="AD163" s="665"/>
    </row>
    <row r="164" spans="22:30" ht="12.75" hidden="1">
      <c r="V164" s="617"/>
      <c r="X164" s="665"/>
      <c r="Y164" s="665"/>
      <c r="Z164" s="757"/>
      <c r="AB164" s="665"/>
      <c r="AC164" s="665" t="s">
        <v>658</v>
      </c>
      <c r="AD164" s="973">
        <f>AD127*Targets!U33</f>
        <v>0</v>
      </c>
    </row>
    <row r="165" spans="24:32" ht="12.75" hidden="1">
      <c r="X165" s="665"/>
      <c r="Y165" s="665"/>
      <c r="Z165" s="757"/>
      <c r="AB165" s="665"/>
      <c r="AC165" s="665" t="s">
        <v>659</v>
      </c>
      <c r="AD165" s="973">
        <f>AD123*Targets!U33*AF165</f>
        <v>0</v>
      </c>
      <c r="AE165" s="889" t="s">
        <v>655</v>
      </c>
      <c r="AF165" s="1070">
        <v>0.25</v>
      </c>
    </row>
    <row r="166" spans="24:32" ht="12.75" hidden="1">
      <c r="X166" s="665"/>
      <c r="Y166" s="665" t="s">
        <v>550</v>
      </c>
      <c r="Z166" s="914">
        <f>IF(Targets!J35=0,Targets!K35,Targets!J35)</f>
        <v>0</v>
      </c>
      <c r="AB166" s="665"/>
      <c r="AC166" s="665" t="s">
        <v>660</v>
      </c>
      <c r="AD166" s="665">
        <f>AD126*Targets!U33*AF166</f>
        <v>0</v>
      </c>
      <c r="AE166" t="s">
        <v>652</v>
      </c>
      <c r="AF166" s="1070">
        <v>0.9</v>
      </c>
    </row>
    <row r="167" spans="24:30" ht="12.75" hidden="1">
      <c r="X167" s="665"/>
      <c r="Y167" s="665" t="s">
        <v>201</v>
      </c>
      <c r="Z167" s="938" t="e">
        <f>Z166/Z128</f>
        <v>#DIV/0!</v>
      </c>
      <c r="AB167" s="665"/>
      <c r="AC167" s="665" t="s">
        <v>661</v>
      </c>
      <c r="AD167" s="973">
        <f>Targets!U35*(AD102+AD111)</f>
        <v>0</v>
      </c>
    </row>
    <row r="168" spans="24:30" ht="12.75" hidden="1">
      <c r="X168" s="665"/>
      <c r="Y168" s="665"/>
      <c r="Z168" s="757"/>
      <c r="AB168" s="665"/>
      <c r="AC168" s="665"/>
      <c r="AD168" s="665"/>
    </row>
    <row r="169" spans="24:30" ht="12.75" hidden="1">
      <c r="X169" s="665"/>
      <c r="Y169" s="665" t="s">
        <v>551</v>
      </c>
      <c r="Z169" s="767" t="e">
        <f>Z166*Q78</f>
        <v>#DIV/0!</v>
      </c>
      <c r="AB169" s="665"/>
      <c r="AC169" s="665" t="s">
        <v>675</v>
      </c>
      <c r="AD169" s="665" t="e">
        <f>AD162/AD127</f>
        <v>#DIV/0!</v>
      </c>
    </row>
    <row r="170" spans="24:30" ht="12.75" hidden="1">
      <c r="X170" s="665"/>
      <c r="Y170" s="665"/>
      <c r="Z170" s="776"/>
      <c r="AB170" s="665"/>
      <c r="AC170" s="665" t="s">
        <v>676</v>
      </c>
      <c r="AD170" s="665" t="e">
        <f>AD162/AD128</f>
        <v>#DIV/0!</v>
      </c>
    </row>
    <row r="171" spans="24:30" ht="12.75" hidden="1">
      <c r="X171" s="665"/>
      <c r="Y171" s="665"/>
      <c r="Z171" s="666"/>
      <c r="AB171" s="665"/>
      <c r="AC171" s="665"/>
      <c r="AD171" s="665"/>
    </row>
    <row r="172" spans="24:30" ht="12.75" hidden="1">
      <c r="X172" s="665" t="s">
        <v>210</v>
      </c>
      <c r="Y172" s="665"/>
      <c r="Z172" s="776"/>
      <c r="AB172" s="665" t="s">
        <v>210</v>
      </c>
      <c r="AC172" s="665" t="s">
        <v>662</v>
      </c>
      <c r="AD172" s="972">
        <f>Targets!U37*AD127</f>
        <v>0</v>
      </c>
    </row>
    <row r="173" spans="24:30" ht="12.75" hidden="1">
      <c r="X173" s="665"/>
      <c r="Y173" s="665" t="s">
        <v>553</v>
      </c>
      <c r="Z173" s="776"/>
      <c r="AB173" s="665"/>
      <c r="AC173" s="665" t="s">
        <v>663</v>
      </c>
      <c r="AD173" s="972">
        <f>Targets!U37*AD123*AF175</f>
        <v>0</v>
      </c>
    </row>
    <row r="174" spans="24:30" ht="12.75" hidden="1">
      <c r="X174" s="665"/>
      <c r="Y174" s="665" t="s">
        <v>554</v>
      </c>
      <c r="Z174" s="776">
        <f>Z127*Z173</f>
        <v>0</v>
      </c>
      <c r="AB174" s="665"/>
      <c r="AC174" s="665" t="s">
        <v>664</v>
      </c>
      <c r="AD174" s="972">
        <f>Targets!U37*AD126*AF176</f>
        <v>0</v>
      </c>
    </row>
    <row r="175" spans="24:32" ht="12.75" hidden="1">
      <c r="X175" s="665"/>
      <c r="Y175" s="665" t="s">
        <v>555</v>
      </c>
      <c r="Z175" s="776"/>
      <c r="AB175" s="665"/>
      <c r="AC175" s="665" t="s">
        <v>665</v>
      </c>
      <c r="AD175" s="972">
        <f>Targets!U39*(AD102+AD111)</f>
        <v>0</v>
      </c>
      <c r="AE175" s="889" t="s">
        <v>655</v>
      </c>
      <c r="AF175" s="1070">
        <v>0.25</v>
      </c>
    </row>
    <row r="176" spans="24:32" ht="12.75" hidden="1">
      <c r="X176" s="665"/>
      <c r="Y176" s="665" t="s">
        <v>556</v>
      </c>
      <c r="Z176" s="776">
        <f>Targets!N62*Z175</f>
        <v>0</v>
      </c>
      <c r="AB176" s="665"/>
      <c r="AC176" s="665" t="s">
        <v>552</v>
      </c>
      <c r="AD176" s="1076">
        <f>SUM(AD172:AD175)</f>
        <v>0</v>
      </c>
      <c r="AE176" t="s">
        <v>652</v>
      </c>
      <c r="AF176" s="1070">
        <v>0.9</v>
      </c>
    </row>
    <row r="177" spans="24:30" ht="12.75" hidden="1">
      <c r="X177" s="665"/>
      <c r="Y177" s="665" t="s">
        <v>211</v>
      </c>
      <c r="Z177" s="776">
        <f>Targets!J37</f>
        <v>0</v>
      </c>
      <c r="AB177" s="665"/>
      <c r="AC177" s="876" t="s">
        <v>721</v>
      </c>
      <c r="AD177" s="773" t="e">
        <f>AD176/AD128</f>
        <v>#DIV/0!</v>
      </c>
    </row>
    <row r="178" spans="24:30" ht="12.75" hidden="1">
      <c r="X178" s="665"/>
      <c r="Y178" s="665"/>
      <c r="Z178" s="776"/>
      <c r="AB178" s="665"/>
      <c r="AC178" s="876"/>
      <c r="AD178" s="876"/>
    </row>
    <row r="179" spans="24:30" ht="12.75" hidden="1">
      <c r="X179" s="665"/>
      <c r="Y179" s="665"/>
      <c r="Z179" s="776"/>
      <c r="AB179" s="665"/>
      <c r="AC179" s="665"/>
      <c r="AD179" s="665"/>
    </row>
    <row r="180" spans="24:30" ht="12.75" hidden="1">
      <c r="X180" s="665"/>
      <c r="Y180" s="665" t="s">
        <v>211</v>
      </c>
      <c r="Z180" s="777">
        <f>Z177</f>
        <v>0</v>
      </c>
      <c r="AB180" s="665"/>
      <c r="AC180" s="665"/>
      <c r="AD180" s="665"/>
    </row>
    <row r="181" spans="24:30" ht="12.75" hidden="1">
      <c r="X181" s="665"/>
      <c r="Y181" s="665"/>
      <c r="Z181" s="666"/>
      <c r="AB181" s="665"/>
      <c r="AC181" s="665"/>
      <c r="AD181" s="665"/>
    </row>
    <row r="182" spans="24:30" ht="12.75" hidden="1">
      <c r="X182" s="665" t="s">
        <v>431</v>
      </c>
      <c r="Y182" s="665"/>
      <c r="Z182" s="666"/>
      <c r="AB182" s="665" t="s">
        <v>172</v>
      </c>
      <c r="AC182" s="665"/>
      <c r="AD182" s="665"/>
    </row>
    <row r="183" spans="24:30" ht="12.75" hidden="1">
      <c r="X183" s="665"/>
      <c r="Y183" s="659" t="s">
        <v>22</v>
      </c>
      <c r="Z183" s="778">
        <f>IF(Targets!J39=0,Targets!K39,Targets!J39)</f>
        <v>0</v>
      </c>
      <c r="AB183" s="665"/>
      <c r="AC183" s="665" t="s">
        <v>22</v>
      </c>
      <c r="AD183" s="773">
        <f>AD192*FarmData!H39</f>
        <v>0</v>
      </c>
    </row>
    <row r="184" spans="24:30" ht="12.75" hidden="1">
      <c r="X184" s="665"/>
      <c r="Y184" s="659" t="s">
        <v>109</v>
      </c>
      <c r="Z184" s="778">
        <f>IF(Targets!J40=0,Targets!K40,Targets!J40)</f>
        <v>0</v>
      </c>
      <c r="AB184" s="665"/>
      <c r="AC184" s="665" t="s">
        <v>109</v>
      </c>
      <c r="AD184" s="773">
        <f>AD193*FarmData!H40</f>
        <v>0</v>
      </c>
    </row>
    <row r="185" spans="24:30" ht="12.75" hidden="1">
      <c r="X185" s="665"/>
      <c r="Y185" s="659" t="s">
        <v>276</v>
      </c>
      <c r="Z185" s="778">
        <f>Q82</f>
        <v>0</v>
      </c>
      <c r="AB185" s="665"/>
      <c r="AC185" s="665" t="s">
        <v>112</v>
      </c>
      <c r="AD185" s="773">
        <f>AD194*FarmData!H41</f>
        <v>0</v>
      </c>
    </row>
    <row r="186" spans="24:30" ht="12.75" hidden="1">
      <c r="X186" s="665"/>
      <c r="Y186" s="659" t="s">
        <v>111</v>
      </c>
      <c r="Z186" s="778">
        <f>IF(Targets!J41=0,Targets!K41,Targets!J41)</f>
        <v>0</v>
      </c>
      <c r="AB186" s="665"/>
      <c r="AC186" s="1073" t="s">
        <v>715</v>
      </c>
      <c r="AD186" s="1074">
        <f>SUM(AD183:AD185)</f>
        <v>0</v>
      </c>
    </row>
    <row r="187" spans="24:30" ht="12.75" hidden="1">
      <c r="X187" s="665"/>
      <c r="Y187" s="659" t="s">
        <v>557</v>
      </c>
      <c r="Z187" s="773">
        <f>SUM(Z183:Z186)</f>
        <v>0</v>
      </c>
      <c r="AB187" s="665"/>
      <c r="AC187" s="665"/>
      <c r="AD187" s="773"/>
    </row>
    <row r="188" spans="24:30" ht="12.75" hidden="1">
      <c r="X188" s="665"/>
      <c r="Y188" s="659"/>
      <c r="Z188" s="779"/>
      <c r="AB188" s="665"/>
      <c r="AC188" s="665"/>
      <c r="AD188" s="1072"/>
    </row>
    <row r="189" spans="24:30" ht="12.75" hidden="1">
      <c r="X189" s="665"/>
      <c r="Y189" s="665"/>
      <c r="Z189" s="776"/>
      <c r="AB189" s="665"/>
      <c r="AC189" s="665"/>
      <c r="AD189" s="1072"/>
    </row>
    <row r="190" spans="24:30" ht="12.75" hidden="1">
      <c r="X190" s="665"/>
      <c r="Y190" s="665"/>
      <c r="Z190" s="776"/>
      <c r="AB190" s="665"/>
      <c r="AC190" s="665"/>
      <c r="AD190" s="665"/>
    </row>
    <row r="191" spans="24:30" ht="12.75" hidden="1">
      <c r="X191" s="665"/>
      <c r="Y191" s="665"/>
      <c r="Z191" s="776"/>
      <c r="AB191" s="665"/>
      <c r="AC191" s="665"/>
      <c r="AD191" s="665"/>
    </row>
    <row r="192" spans="24:30" ht="12.75" hidden="1">
      <c r="X192" s="665"/>
      <c r="Y192" s="665"/>
      <c r="Z192" s="776"/>
      <c r="AB192" s="665" t="s">
        <v>511</v>
      </c>
      <c r="AC192" s="665" t="s">
        <v>103</v>
      </c>
      <c r="AD192" s="972">
        <f>Targets!U43*AD128</f>
        <v>0</v>
      </c>
    </row>
    <row r="193" spans="24:30" ht="12.75" hidden="1">
      <c r="X193" s="665"/>
      <c r="Y193" s="665"/>
      <c r="Z193" s="757"/>
      <c r="AB193" s="665"/>
      <c r="AC193" s="665" t="s">
        <v>109</v>
      </c>
      <c r="AD193" s="972">
        <f>Targets!U44*AD128</f>
        <v>0</v>
      </c>
    </row>
    <row r="194" spans="24:30" ht="12.75" hidden="1">
      <c r="X194" s="665"/>
      <c r="Y194" s="665"/>
      <c r="Z194" s="776"/>
      <c r="AB194" s="665"/>
      <c r="AC194" s="665" t="s">
        <v>112</v>
      </c>
      <c r="AD194" s="972">
        <f>Targets!U45*AD128</f>
        <v>0</v>
      </c>
    </row>
    <row r="195" spans="24:30" ht="12.75" hidden="1">
      <c r="X195" s="665"/>
      <c r="Y195" s="665" t="s">
        <v>431</v>
      </c>
      <c r="Z195" s="777">
        <f>(FarmData!H39*Z183)+(FarmData!H40*Z184)+(FarmData!H41*Z186)</f>
        <v>0</v>
      </c>
      <c r="AB195" s="665"/>
      <c r="AC195" s="665" t="s">
        <v>276</v>
      </c>
      <c r="AD195" s="972">
        <f>AD203</f>
        <v>0</v>
      </c>
    </row>
    <row r="196" spans="24:30" ht="12.75" hidden="1">
      <c r="X196" s="665"/>
      <c r="Y196" s="665"/>
      <c r="Z196" s="1071"/>
      <c r="AB196" s="665"/>
      <c r="AC196" s="1073" t="s">
        <v>557</v>
      </c>
      <c r="AD196" s="1075">
        <f>SUM(AD192:AD195)</f>
        <v>0</v>
      </c>
    </row>
    <row r="197" spans="24:30" ht="12.75" hidden="1">
      <c r="X197" s="665"/>
      <c r="Y197" s="665"/>
      <c r="Z197" s="666"/>
      <c r="AB197" s="665"/>
      <c r="AC197" s="665"/>
      <c r="AD197" s="665"/>
    </row>
    <row r="198" spans="24:30" ht="12.75" hidden="1">
      <c r="X198" s="665"/>
      <c r="Y198" s="665"/>
      <c r="Z198" s="666"/>
      <c r="AB198" s="665"/>
      <c r="AC198" s="665"/>
      <c r="AD198" s="665"/>
    </row>
    <row r="199" spans="24:30" ht="12.75" hidden="1">
      <c r="X199" s="665"/>
      <c r="Y199" s="665"/>
      <c r="Z199" s="666"/>
      <c r="AB199" s="665" t="s">
        <v>519</v>
      </c>
      <c r="AC199" s="665" t="s">
        <v>53</v>
      </c>
      <c r="AD199" s="972">
        <f>Targets!U25*AD102</f>
        <v>0</v>
      </c>
    </row>
    <row r="200" spans="24:30" ht="12.75" hidden="1">
      <c r="X200" s="665"/>
      <c r="Y200" s="665"/>
      <c r="Z200" s="666"/>
      <c r="AB200" s="665"/>
      <c r="AC200" s="665" t="s">
        <v>61</v>
      </c>
      <c r="AD200" s="972">
        <f>Targets!U26*AD111</f>
        <v>0</v>
      </c>
    </row>
    <row r="201" spans="24:30" ht="12.75" hidden="1">
      <c r="X201" s="665"/>
      <c r="Y201" s="665"/>
      <c r="Z201" s="666"/>
      <c r="AB201" s="665"/>
      <c r="AC201" s="665" t="s">
        <v>72</v>
      </c>
      <c r="AD201" s="972">
        <f>Targets!U21*AD119</f>
        <v>0</v>
      </c>
    </row>
    <row r="202" spans="24:30" ht="12.75" hidden="1">
      <c r="X202" s="665"/>
      <c r="Y202" s="665"/>
      <c r="Z202" s="666"/>
      <c r="AB202" s="665"/>
      <c r="AC202" s="665" t="s">
        <v>249</v>
      </c>
      <c r="AD202" s="972">
        <f>Targets!U40*FarmData!H23</f>
        <v>0</v>
      </c>
    </row>
    <row r="203" spans="24:30" ht="12.75" hidden="1">
      <c r="X203" s="665"/>
      <c r="Y203" s="665"/>
      <c r="Z203" s="666"/>
      <c r="AB203" s="665"/>
      <c r="AC203" s="1073" t="s">
        <v>714</v>
      </c>
      <c r="AD203" s="1075">
        <f>SUM(AD199:AD202)</f>
        <v>0</v>
      </c>
    </row>
    <row r="204" ht="12.75" hidden="1"/>
    <row r="205" ht="12.75" hidden="1"/>
    <row r="206" ht="12.75"/>
    <row r="207" ht="12.75"/>
    <row r="208" ht="12.75"/>
    <row r="209" ht="12.75"/>
    <row r="210" ht="12.75"/>
    <row r="212" ht="12.75"/>
    <row r="296" ht="12.75"/>
    <row r="297" ht="12.75"/>
    <row r="298" ht="12.75"/>
    <row r="299" ht="12.75"/>
    <row r="300" ht="12.75"/>
    <row r="301" ht="12.75"/>
    <row r="302" ht="12.75"/>
    <row r="303" ht="12.75"/>
  </sheetData>
  <sheetProtection password="DEBF" sheet="1"/>
  <mergeCells count="27">
    <mergeCell ref="E3:G3"/>
    <mergeCell ref="E4:G4"/>
    <mergeCell ref="E5:G5"/>
    <mergeCell ref="F7:G7"/>
    <mergeCell ref="C9:C10"/>
    <mergeCell ref="F9:G9"/>
    <mergeCell ref="E26:G26"/>
    <mergeCell ref="F28:G28"/>
    <mergeCell ref="F30:G30"/>
    <mergeCell ref="F32:G32"/>
    <mergeCell ref="F34:G34"/>
    <mergeCell ref="F36:G36"/>
    <mergeCell ref="F38:G38"/>
    <mergeCell ref="F40:G40"/>
    <mergeCell ref="F42:G42"/>
    <mergeCell ref="P52:Q52"/>
    <mergeCell ref="T52:V52"/>
    <mergeCell ref="X52:Z52"/>
    <mergeCell ref="P153:Q153"/>
    <mergeCell ref="AB52:AD52"/>
    <mergeCell ref="K53:L53"/>
    <mergeCell ref="X150:Y150"/>
    <mergeCell ref="P151:Q151"/>
    <mergeCell ref="X151:Y151"/>
    <mergeCell ref="P152:Q152"/>
    <mergeCell ref="AB150:AC150"/>
    <mergeCell ref="AB151:AC151"/>
  </mergeCells>
  <hyperlinks>
    <hyperlink ref="C7" location="Menu!E3" display="     Next     "/>
    <hyperlink ref="C9" location="Calculators!E3" display="     Back     "/>
    <hyperlink ref="C13" location="Menu!E3" display="   Menu   "/>
  </hyperlinks>
  <printOptions/>
  <pageMargins left="0.7" right="0.7" top="0.75" bottom="0.75" header="0.5118055555555555" footer="0.5118055555555555"/>
  <pageSetup horizontalDpi="300" verticalDpi="300" orientation="portrait" scale="49" r:id="rId4"/>
  <colBreaks count="1" manualBreakCount="1">
    <brk id="8" max="65535" man="1"/>
  </colBreaks>
  <drawing r:id="rId3"/>
  <legacyDrawing r:id="rId2"/>
</worksheet>
</file>

<file path=xl/worksheets/sheet12.xml><?xml version="1.0" encoding="utf-8"?>
<worksheet xmlns="http://schemas.openxmlformats.org/spreadsheetml/2006/main" xmlns:r="http://schemas.openxmlformats.org/officeDocument/2006/relationships">
  <dimension ref="A1:Q48"/>
  <sheetViews>
    <sheetView showGridLines="0" showRowColHeaders="0" zoomScaleSheetLayoutView="100" zoomScalePageLayoutView="0" workbookViewId="0" topLeftCell="A1">
      <selection activeCell="C2" sqref="C2:F2"/>
    </sheetView>
  </sheetViews>
  <sheetFormatPr defaultColWidth="9.140625" defaultRowHeight="12.75"/>
  <cols>
    <col min="1" max="1" width="0.9921875" style="41" customWidth="1"/>
    <col min="2" max="2" width="1.28515625" style="41" customWidth="1"/>
    <col min="3" max="3" width="24.8515625" style="41" customWidth="1"/>
    <col min="4" max="8" width="13.7109375" style="41" customWidth="1"/>
    <col min="9" max="9" width="1.1484375" style="41" customWidth="1"/>
    <col min="10" max="10" width="9.140625" style="41" customWidth="1"/>
    <col min="11" max="11" width="17.421875" style="41" customWidth="1"/>
    <col min="12" max="16384" width="9.140625" style="41" customWidth="1"/>
  </cols>
  <sheetData>
    <row r="1" spans="2:9" ht="5.25" customHeight="1">
      <c r="B1" s="543"/>
      <c r="C1" s="780"/>
      <c r="D1" s="780"/>
      <c r="E1" s="780"/>
      <c r="F1" s="781"/>
      <c r="G1" s="781"/>
      <c r="H1" s="781"/>
      <c r="I1" s="543"/>
    </row>
    <row r="2" spans="1:9" ht="26.25">
      <c r="A2" s="782"/>
      <c r="B2" s="783"/>
      <c r="C2" s="1291" t="s">
        <v>558</v>
      </c>
      <c r="D2" s="1291"/>
      <c r="E2" s="1291"/>
      <c r="F2" s="1291"/>
      <c r="G2" s="784">
        <f>Welcome!H25</f>
        <v>2011</v>
      </c>
      <c r="H2" s="785"/>
      <c r="I2" s="786"/>
    </row>
    <row r="3" spans="1:9" ht="12.75">
      <c r="A3" s="782"/>
      <c r="B3" s="787"/>
      <c r="C3" s="788" t="s">
        <v>559</v>
      </c>
      <c r="D3" s="1292">
        <f>IF(Welcome!H19="Enter your farm name here","",Welcome!H19)</f>
        <v>0</v>
      </c>
      <c r="E3" s="1292"/>
      <c r="F3" s="1292"/>
      <c r="G3" s="1292"/>
      <c r="H3" s="1292"/>
      <c r="I3" s="146"/>
    </row>
    <row r="4" spans="1:9" ht="12.75">
      <c r="A4" s="782"/>
      <c r="B4" s="787"/>
      <c r="C4" s="788" t="s">
        <v>560</v>
      </c>
      <c r="D4" s="1292" t="str">
        <f>IF(Welcome!H19="Enter your farm name here","",Welcome!H21)</f>
        <v>Commercial medium-input</v>
      </c>
      <c r="E4" s="1292"/>
      <c r="F4" s="1292"/>
      <c r="G4" s="1292"/>
      <c r="H4" s="1292"/>
      <c r="I4" s="146"/>
    </row>
    <row r="5" spans="1:9" ht="12.75">
      <c r="A5" s="782"/>
      <c r="B5" s="789"/>
      <c r="C5" s="1293"/>
      <c r="D5" s="1293"/>
      <c r="E5" s="1293"/>
      <c r="F5" s="1293"/>
      <c r="G5" s="1293"/>
      <c r="H5" s="1293"/>
      <c r="I5" s="146"/>
    </row>
    <row r="6" spans="1:9" ht="12.75">
      <c r="A6" s="782"/>
      <c r="B6" s="146"/>
      <c r="C6" s="1286" t="s">
        <v>561</v>
      </c>
      <c r="D6" s="1286"/>
      <c r="E6" s="790" t="s">
        <v>53</v>
      </c>
      <c r="F6" s="790" t="s">
        <v>61</v>
      </c>
      <c r="G6" s="791" t="s">
        <v>72</v>
      </c>
      <c r="H6" s="791" t="s">
        <v>249</v>
      </c>
      <c r="I6" s="146"/>
    </row>
    <row r="7" spans="1:9" ht="12.75">
      <c r="A7" s="782"/>
      <c r="B7" s="146"/>
      <c r="C7" s="1287" t="s">
        <v>562</v>
      </c>
      <c r="D7" s="1287"/>
      <c r="E7" s="792">
        <f>FarmData!L5</f>
        <v>0</v>
      </c>
      <c r="F7" s="792">
        <f>FarmData!M5</f>
        <v>0</v>
      </c>
      <c r="G7" s="793">
        <f>FarmData!H17</f>
        <v>0</v>
      </c>
      <c r="H7" s="793">
        <f>FarmData!H23+FarmData!H25</f>
        <v>0</v>
      </c>
      <c r="I7" s="146"/>
    </row>
    <row r="8" spans="1:11" ht="12.75">
      <c r="A8" s="782"/>
      <c r="B8" s="789"/>
      <c r="C8" s="1287" t="s">
        <v>563</v>
      </c>
      <c r="D8" s="1287"/>
      <c r="E8" s="794">
        <f>FarmData!H7</f>
        <v>0</v>
      </c>
      <c r="F8" s="794">
        <f>FarmData!H14</f>
        <v>0</v>
      </c>
      <c r="G8" s="794">
        <f>FarmData!H21</f>
        <v>0</v>
      </c>
      <c r="H8" s="794" t="str">
        <f>IF(H7=0,"0",((FarmData!H24*FarmData!H23)+(FarmData!H26*FarmData!H25))/H7)</f>
        <v>0</v>
      </c>
      <c r="I8" s="146"/>
      <c r="K8" s="1138" t="s">
        <v>71</v>
      </c>
    </row>
    <row r="9" spans="1:11" ht="12.75">
      <c r="A9" s="782"/>
      <c r="B9" s="146"/>
      <c r="C9" s="1287" t="s">
        <v>564</v>
      </c>
      <c r="D9" s="1287"/>
      <c r="E9" s="795" t="str">
        <f>IF(FarmData!H5=0,"New Operation",(FarmData!L5-FarmData!H5)/FarmData!H5)</f>
        <v>New Operation</v>
      </c>
      <c r="F9" s="1289"/>
      <c r="G9" s="1289"/>
      <c r="H9" s="1289"/>
      <c r="I9" s="146"/>
      <c r="K9" s="1138"/>
    </row>
    <row r="10" spans="1:9" ht="12.75">
      <c r="A10" s="782"/>
      <c r="B10" s="146"/>
      <c r="C10" s="1287" t="s">
        <v>565</v>
      </c>
      <c r="D10" s="1287"/>
      <c r="E10" s="796">
        <f>Equipment!M41</f>
        <v>0</v>
      </c>
      <c r="F10" s="1289"/>
      <c r="G10" s="1289"/>
      <c r="H10" s="1289"/>
      <c r="I10" s="146"/>
    </row>
    <row r="11" spans="1:12" ht="12.75">
      <c r="A11" s="782"/>
      <c r="B11" s="789"/>
      <c r="C11" s="1288"/>
      <c r="D11" s="1288"/>
      <c r="E11" s="1288"/>
      <c r="F11" s="1288"/>
      <c r="G11" s="1288"/>
      <c r="H11" s="1288"/>
      <c r="I11" s="146"/>
      <c r="K11" s="1290"/>
      <c r="L11" s="1290"/>
    </row>
    <row r="12" spans="1:12" ht="12.75">
      <c r="A12" s="782"/>
      <c r="B12" s="146"/>
      <c r="C12" s="1286" t="s">
        <v>566</v>
      </c>
      <c r="D12" s="1286"/>
      <c r="E12" s="524" t="s">
        <v>567</v>
      </c>
      <c r="F12" s="524" t="s">
        <v>568</v>
      </c>
      <c r="G12" s="524" t="s">
        <v>569</v>
      </c>
      <c r="H12" s="797" t="s">
        <v>570</v>
      </c>
      <c r="I12" s="798"/>
      <c r="K12" s="799"/>
      <c r="L12" s="799"/>
    </row>
    <row r="13" spans="1:12" ht="12.75">
      <c r="A13" s="782"/>
      <c r="B13" s="146"/>
      <c r="C13" s="1287" t="s">
        <v>571</v>
      </c>
      <c r="D13" s="1287"/>
      <c r="E13" s="800">
        <f>Income!G9+Income!G10</f>
        <v>0</v>
      </c>
      <c r="F13" s="330">
        <f>IF(E13=0,0,G13/E13)</f>
        <v>0</v>
      </c>
      <c r="G13" s="324">
        <f>Income!J9+Income!J10</f>
        <v>0</v>
      </c>
      <c r="H13" s="801">
        <f>IF(FarmData!H17=0,"",(E13/SUM(Income!G9:G13)))</f>
      </c>
      <c r="I13" s="146"/>
      <c r="J13" s="802"/>
      <c r="K13" s="402"/>
      <c r="L13" s="799"/>
    </row>
    <row r="14" spans="1:12" ht="12.75">
      <c r="A14" s="782"/>
      <c r="B14" s="146"/>
      <c r="C14" s="1287" t="s">
        <v>572</v>
      </c>
      <c r="D14" s="1287"/>
      <c r="E14" s="800">
        <f>Income!G11</f>
        <v>0</v>
      </c>
      <c r="F14" s="803">
        <f>Income!K11</f>
        <v>0</v>
      </c>
      <c r="G14" s="324">
        <f>Income!J11</f>
        <v>0</v>
      </c>
      <c r="H14" s="801">
        <f>IF(FarmData!H17=0,"",(E14/SUM(Income!G9:G13)))</f>
      </c>
      <c r="I14" s="146"/>
      <c r="J14" s="802"/>
      <c r="K14" s="402"/>
      <c r="L14" s="799"/>
    </row>
    <row r="15" spans="1:12" ht="12.75">
      <c r="A15" s="782"/>
      <c r="B15" s="146"/>
      <c r="C15" s="1287" t="s">
        <v>573</v>
      </c>
      <c r="D15" s="1287"/>
      <c r="E15" s="800">
        <f>Income!G12+Income!G13</f>
        <v>0</v>
      </c>
      <c r="F15" s="330">
        <f>IF(E15=0,0,G15/E15)</f>
        <v>0</v>
      </c>
      <c r="G15" s="324">
        <f>Income!J12+Income!J13</f>
        <v>0</v>
      </c>
      <c r="H15" s="801">
        <f>IF(FarmData!H17=0,"",(E15/SUM(Income!G9:G13)))</f>
      </c>
      <c r="I15" s="146"/>
      <c r="J15" s="43"/>
      <c r="K15" s="402"/>
      <c r="L15" s="799"/>
    </row>
    <row r="16" spans="1:12" ht="12.75">
      <c r="A16" s="782"/>
      <c r="B16" s="146"/>
      <c r="C16" s="1287" t="s">
        <v>574</v>
      </c>
      <c r="D16" s="1287"/>
      <c r="E16" s="800">
        <f>Income!G14+Income!G15</f>
        <v>0</v>
      </c>
      <c r="F16" s="330">
        <f>IF(E16=0,0,G16/E16)</f>
        <v>0</v>
      </c>
      <c r="G16" s="324">
        <f>Income!J14+Income!J15</f>
        <v>0</v>
      </c>
      <c r="H16" s="804"/>
      <c r="I16" s="146"/>
      <c r="J16" s="802"/>
      <c r="K16" s="76"/>
      <c r="L16" s="84"/>
    </row>
    <row r="17" spans="1:12" ht="18.75" customHeight="1">
      <c r="A17" s="782"/>
      <c r="B17" s="789"/>
      <c r="C17" s="1288"/>
      <c r="D17" s="1288"/>
      <c r="E17" s="1288"/>
      <c r="F17" s="1288"/>
      <c r="G17" s="1288"/>
      <c r="H17" s="1288"/>
      <c r="I17" s="146"/>
      <c r="J17" s="43"/>
      <c r="K17" s="76"/>
      <c r="L17" s="84"/>
    </row>
    <row r="18" spans="1:12" ht="12.75">
      <c r="A18" s="782"/>
      <c r="B18" s="789"/>
      <c r="C18" s="524" t="s">
        <v>220</v>
      </c>
      <c r="D18" s="524" t="s">
        <v>221</v>
      </c>
      <c r="E18" s="524" t="s">
        <v>222</v>
      </c>
      <c r="F18" s="805" t="s">
        <v>223</v>
      </c>
      <c r="G18" s="805" t="s">
        <v>575</v>
      </c>
      <c r="H18" s="805" t="s">
        <v>576</v>
      </c>
      <c r="I18" s="798"/>
      <c r="J18" s="43"/>
      <c r="K18" s="76"/>
      <c r="L18" s="84"/>
    </row>
    <row r="19" spans="1:12" ht="12.75">
      <c r="A19" s="782"/>
      <c r="B19" s="146"/>
      <c r="C19" s="178" t="s">
        <v>226</v>
      </c>
      <c r="D19" s="324" t="e">
        <f>Expenses!J61</f>
        <v>#DIV/0!</v>
      </c>
      <c r="E19" s="324" t="e">
        <f>D19/((FarmData!H5+FarmData!L5)/2)</f>
        <v>#DIV/0!</v>
      </c>
      <c r="F19" s="806" t="e">
        <f>D19/Reports!$I$22</f>
        <v>#DIV/0!</v>
      </c>
      <c r="G19" s="806" t="e">
        <f>D19/(FarmData!$H$17-FarmData!$H$20)</f>
        <v>#DIV/0!</v>
      </c>
      <c r="H19" s="324" t="e">
        <f>D19/(Income!$O$14+((FarmData!$J$20+FarmData!$J$21)*(FarmData!$J$10*0.75)))</f>
        <v>#DIV/0!</v>
      </c>
      <c r="I19" s="146"/>
      <c r="J19" s="43"/>
      <c r="K19" s="76"/>
      <c r="L19" s="84"/>
    </row>
    <row r="20" spans="1:11" ht="12.75">
      <c r="A20" s="782"/>
      <c r="B20" s="146"/>
      <c r="C20" s="658" t="s">
        <v>228</v>
      </c>
      <c r="D20" s="324">
        <f>Income!J20</f>
        <v>0</v>
      </c>
      <c r="E20" s="324" t="e">
        <f>D20/((FarmData!H5+FarmData!L5)/2)</f>
        <v>#DIV/0!</v>
      </c>
      <c r="F20" s="806" t="e">
        <f>D20/Reports!$I$22</f>
        <v>#DIV/0!</v>
      </c>
      <c r="G20" s="806" t="e">
        <f>D20/(FarmData!$H$17-FarmData!$H$20)</f>
        <v>#DIV/0!</v>
      </c>
      <c r="H20" s="324" t="e">
        <f>D20/(Income!$O$14+((FarmData!$J$20+FarmData!$J$21)*(FarmData!$J$10*0.75)))</f>
        <v>#DIV/0!</v>
      </c>
      <c r="I20" s="146"/>
      <c r="J20" s="43"/>
      <c r="K20" s="43"/>
    </row>
    <row r="21" spans="1:11" ht="12.75">
      <c r="A21" s="782"/>
      <c r="B21" s="146"/>
      <c r="C21" s="674" t="s">
        <v>229</v>
      </c>
      <c r="D21" s="330" t="e">
        <f>Background!Q67</f>
        <v>#DIV/0!</v>
      </c>
      <c r="E21" s="330" t="e">
        <f>D21/((FarmData!H5+FarmData!L5)/2)</f>
        <v>#DIV/0!</v>
      </c>
      <c r="F21" s="807" t="e">
        <f>D21/Reports!$I$22</f>
        <v>#DIV/0!</v>
      </c>
      <c r="G21" s="807" t="e">
        <f>D21/(FarmData!$H$17-FarmData!$H$20)</f>
        <v>#DIV/0!</v>
      </c>
      <c r="H21" s="330" t="e">
        <f>D21/(Income!$O$14+((FarmData!$J$20+FarmData!$J$21)*(FarmData!$J$10*0.75)))</f>
        <v>#DIV/0!</v>
      </c>
      <c r="I21" s="146"/>
      <c r="J21" s="802"/>
      <c r="K21" s="43"/>
    </row>
    <row r="22" spans="1:11" ht="12.75">
      <c r="A22" s="782"/>
      <c r="B22" s="146"/>
      <c r="C22" s="674" t="s">
        <v>230</v>
      </c>
      <c r="D22" s="330" t="e">
        <f>Background!Q68</f>
        <v>#DIV/0!</v>
      </c>
      <c r="E22" s="330" t="e">
        <f>D22/((FarmData!H5+FarmData!L5)/2)</f>
        <v>#DIV/0!</v>
      </c>
      <c r="F22" s="807" t="e">
        <f>D22/Reports!$I$22</f>
        <v>#DIV/0!</v>
      </c>
      <c r="G22" s="807" t="e">
        <f>D22/(FarmData!$H$17-FarmData!$H$20)</f>
        <v>#DIV/0!</v>
      </c>
      <c r="H22" s="330" t="e">
        <f>D22/(Income!$O$14+((FarmData!$J$20+FarmData!$J$21)*(FarmData!$J$10*0.75)))</f>
        <v>#DIV/0!</v>
      </c>
      <c r="I22" s="146"/>
      <c r="J22" s="43"/>
      <c r="K22" s="43"/>
    </row>
    <row r="23" spans="1:11" ht="12.75">
      <c r="A23" s="782"/>
      <c r="B23" s="146"/>
      <c r="C23" s="658" t="s">
        <v>232</v>
      </c>
      <c r="D23" s="324">
        <f>Background!Q90</f>
        <v>0</v>
      </c>
      <c r="E23" s="324" t="e">
        <f>D23/((FarmData!H5+FarmData!L5)/2)</f>
        <v>#DIV/0!</v>
      </c>
      <c r="F23" s="806" t="e">
        <f>D23/Reports!$I$22</f>
        <v>#DIV/0!</v>
      </c>
      <c r="G23" s="806" t="e">
        <f>D23/(FarmData!$H$17-FarmData!$H$20)</f>
        <v>#DIV/0!</v>
      </c>
      <c r="H23" s="324" t="e">
        <f>D23/(Income!$O$14+((FarmData!$J$20+FarmData!$J$21)*(FarmData!$J$10*0.75)))</f>
        <v>#DIV/0!</v>
      </c>
      <c r="I23" s="146"/>
      <c r="J23" s="802"/>
      <c r="K23" s="43"/>
    </row>
    <row r="24" spans="1:11" ht="12.75">
      <c r="A24" s="782"/>
      <c r="B24" s="146"/>
      <c r="C24" s="658" t="s">
        <v>577</v>
      </c>
      <c r="D24" s="808">
        <f>SUM(Equipment!M41)</f>
        <v>0</v>
      </c>
      <c r="E24" s="809" t="e">
        <f>E7/D24</f>
        <v>#DIV/0!</v>
      </c>
      <c r="F24" s="810" t="e">
        <f>Reports!I22/D24</f>
        <v>#DIV/0!</v>
      </c>
      <c r="G24" s="810" t="e">
        <f>(FarmData!H17-FarmData!H20)/D24</f>
        <v>#DIV/0!</v>
      </c>
      <c r="H24" s="811"/>
      <c r="I24" s="146"/>
      <c r="J24" s="43"/>
      <c r="K24" s="43"/>
    </row>
    <row r="25" spans="1:11" ht="12.75">
      <c r="A25" s="782"/>
      <c r="B25" s="146"/>
      <c r="C25" s="658" t="s">
        <v>578</v>
      </c>
      <c r="D25" s="812">
        <f>Background!Q77</f>
        <v>0</v>
      </c>
      <c r="E25" s="813" t="e">
        <f>D25/((FarmData!H5+FarmData!L5)/2)</f>
        <v>#DIV/0!</v>
      </c>
      <c r="F25" s="814" t="e">
        <f>D25/Reports!I22</f>
        <v>#DIV/0!</v>
      </c>
      <c r="G25" s="814" t="e">
        <f>D25/(FarmData!$H$17-FarmData!$H$20)</f>
        <v>#DIV/0!</v>
      </c>
      <c r="H25" s="815" t="e">
        <f>D25/(Income!$O$14+((FarmData!$J$20+FarmData!$J$21)*(FarmData!$J$10*0.75)))</f>
        <v>#DIV/0!</v>
      </c>
      <c r="I25" s="146"/>
      <c r="J25" s="43"/>
      <c r="K25" s="43"/>
    </row>
    <row r="26" spans="1:11" ht="18" customHeight="1">
      <c r="A26" s="782"/>
      <c r="B26" s="146"/>
      <c r="C26" s="816"/>
      <c r="D26" s="817"/>
      <c r="E26" s="818"/>
      <c r="F26" s="818"/>
      <c r="G26" s="819"/>
      <c r="H26" s="820"/>
      <c r="I26" s="146"/>
      <c r="J26" s="802"/>
      <c r="K26" s="43"/>
    </row>
    <row r="27" spans="1:11" ht="12.75">
      <c r="A27" s="782"/>
      <c r="B27" s="93"/>
      <c r="C27" s="821" t="s">
        <v>579</v>
      </c>
      <c r="D27" s="822"/>
      <c r="E27" s="823" t="s">
        <v>187</v>
      </c>
      <c r="F27" s="1285" t="s">
        <v>580</v>
      </c>
      <c r="G27" s="1285"/>
      <c r="H27" s="1285"/>
      <c r="I27" s="798"/>
      <c r="J27" s="43"/>
      <c r="K27" s="43"/>
    </row>
    <row r="28" spans="1:11" ht="12.75">
      <c r="A28" s="782"/>
      <c r="B28" s="130"/>
      <c r="C28" s="1284" t="s">
        <v>581</v>
      </c>
      <c r="D28" s="1284"/>
      <c r="E28" s="824">
        <f>Welcome!H25</f>
        <v>2011</v>
      </c>
      <c r="F28" s="825" t="s">
        <v>582</v>
      </c>
      <c r="G28" s="826" t="s">
        <v>267</v>
      </c>
      <c r="H28" s="827" t="s">
        <v>583</v>
      </c>
      <c r="I28" s="798"/>
      <c r="J28" s="43"/>
      <c r="K28" s="43"/>
    </row>
    <row r="29" spans="1:11" ht="12.75">
      <c r="A29" s="782"/>
      <c r="B29" s="130"/>
      <c r="C29" s="1281" t="s">
        <v>584</v>
      </c>
      <c r="D29" s="1281"/>
      <c r="E29" s="828" t="e">
        <f>Expenses!J16/Reports!I22</f>
        <v>#DIV/0!</v>
      </c>
      <c r="F29" s="829">
        <v>80</v>
      </c>
      <c r="G29" s="155">
        <v>90</v>
      </c>
      <c r="H29" s="830">
        <v>100</v>
      </c>
      <c r="I29" s="798"/>
      <c r="J29" s="802"/>
      <c r="K29" s="43"/>
    </row>
    <row r="30" spans="1:17" ht="12.75" customHeight="1">
      <c r="A30" s="782"/>
      <c r="B30" s="130"/>
      <c r="C30" s="1281" t="s">
        <v>585</v>
      </c>
      <c r="D30" s="1281"/>
      <c r="E30" s="828" t="e">
        <f>Background!Q62/Reports!I22</f>
        <v>#DIV/0!</v>
      </c>
      <c r="F30" s="829">
        <v>180</v>
      </c>
      <c r="G30" s="155">
        <v>200</v>
      </c>
      <c r="H30" s="830">
        <v>220</v>
      </c>
      <c r="I30" s="798"/>
      <c r="J30" s="802"/>
      <c r="K30" s="43"/>
      <c r="Q30" s="80"/>
    </row>
    <row r="31" spans="1:11" ht="12.75" customHeight="1">
      <c r="A31" s="782"/>
      <c r="B31" s="130"/>
      <c r="C31" s="1281" t="s">
        <v>586</v>
      </c>
      <c r="D31" s="1281"/>
      <c r="E31" s="831">
        <f>IF(Background!Q56=0,"",(Background!Q62/Background!Q56))</f>
      </c>
      <c r="F31" s="829">
        <v>1.75</v>
      </c>
      <c r="G31" s="155">
        <v>2</v>
      </c>
      <c r="H31" s="830">
        <v>2.25</v>
      </c>
      <c r="I31" s="798"/>
      <c r="J31" s="802"/>
      <c r="K31" s="43"/>
    </row>
    <row r="32" spans="1:11" ht="12.75">
      <c r="A32" s="782"/>
      <c r="B32" s="130"/>
      <c r="C32" s="832" t="s">
        <v>587</v>
      </c>
      <c r="D32" s="833"/>
      <c r="E32" s="831" t="e">
        <f>Background!Q83/Reports!I22</f>
        <v>#DIV/0!</v>
      </c>
      <c r="F32" s="829">
        <v>55</v>
      </c>
      <c r="G32" s="155">
        <v>65</v>
      </c>
      <c r="H32" s="830">
        <v>75</v>
      </c>
      <c r="I32" s="798"/>
      <c r="J32" s="802"/>
      <c r="K32" s="43"/>
    </row>
    <row r="33" spans="1:11" ht="12.75">
      <c r="A33" s="782"/>
      <c r="B33" s="130"/>
      <c r="C33" s="1281" t="s">
        <v>588</v>
      </c>
      <c r="D33" s="1281"/>
      <c r="E33" s="834" t="e">
        <f>Background!Q84/Reports!I22</f>
        <v>#DIV/0!</v>
      </c>
      <c r="F33" s="829">
        <v>100</v>
      </c>
      <c r="G33" s="155">
        <v>125</v>
      </c>
      <c r="H33" s="830">
        <v>150</v>
      </c>
      <c r="I33" s="798"/>
      <c r="J33" s="43"/>
      <c r="K33" s="43"/>
    </row>
    <row r="34" spans="1:11" ht="12.75">
      <c r="A34" s="782"/>
      <c r="B34" s="130"/>
      <c r="C34" s="1283" t="s">
        <v>589</v>
      </c>
      <c r="D34" s="1283"/>
      <c r="E34" s="835" t="e">
        <f>F20</f>
        <v>#DIV/0!</v>
      </c>
      <c r="F34" s="836">
        <v>180</v>
      </c>
      <c r="G34" s="837">
        <v>170</v>
      </c>
      <c r="H34" s="838">
        <v>160</v>
      </c>
      <c r="I34" s="798"/>
      <c r="J34" s="802"/>
      <c r="K34" s="43"/>
    </row>
    <row r="35" spans="1:11" ht="12.75">
      <c r="A35" s="782"/>
      <c r="B35" s="130"/>
      <c r="C35" s="839" t="s">
        <v>590</v>
      </c>
      <c r="D35" s="840"/>
      <c r="E35" s="841" t="e">
        <f>SUM(Income!J9:Income!J13)/SUM(Income!G9:Income!G13)</f>
        <v>#DIV/0!</v>
      </c>
      <c r="F35" s="842">
        <v>160</v>
      </c>
      <c r="G35" s="843">
        <v>150</v>
      </c>
      <c r="H35" s="844">
        <v>140</v>
      </c>
      <c r="I35" s="798"/>
      <c r="J35" s="802"/>
      <c r="K35" s="43"/>
    </row>
    <row r="36" spans="1:11" ht="12.75">
      <c r="A36" s="782"/>
      <c r="B36" s="130"/>
      <c r="C36" s="1281" t="s">
        <v>591</v>
      </c>
      <c r="D36" s="1281"/>
      <c r="E36" s="828" t="e">
        <f>((D21*-1)+SUM(Income!J9:Income!J13))/SUM(Income!G9:Income!G13)</f>
        <v>#DIV/0!</v>
      </c>
      <c r="F36" s="845">
        <v>150</v>
      </c>
      <c r="G36" s="846">
        <v>160</v>
      </c>
      <c r="H36" s="830">
        <v>170</v>
      </c>
      <c r="I36" s="798"/>
      <c r="J36" s="802"/>
      <c r="K36" s="43"/>
    </row>
    <row r="37" spans="1:11" ht="12.75">
      <c r="A37" s="782"/>
      <c r="B37" s="130"/>
      <c r="C37" s="847" t="s">
        <v>592</v>
      </c>
      <c r="D37" s="848"/>
      <c r="E37" s="849" t="e">
        <f>((D22*-1)+SUM(Income!J9:Income!J13))/SUM(Income!G9:Income!G13)</f>
        <v>#DIV/0!</v>
      </c>
      <c r="F37" s="850">
        <v>105</v>
      </c>
      <c r="G37" s="851">
        <v>115</v>
      </c>
      <c r="H37" s="852">
        <v>125</v>
      </c>
      <c r="I37" s="798"/>
      <c r="J37" s="802"/>
      <c r="K37" s="43"/>
    </row>
    <row r="38" spans="1:11" ht="12.75">
      <c r="A38" s="782"/>
      <c r="B38" s="130"/>
      <c r="C38" s="1281" t="s">
        <v>593</v>
      </c>
      <c r="D38" s="1281"/>
      <c r="E38" s="828" t="e">
        <f>Background!Q67/Reports!I22</f>
        <v>#DIV/0!</v>
      </c>
      <c r="F38" s="853">
        <v>10</v>
      </c>
      <c r="G38" s="155">
        <v>5</v>
      </c>
      <c r="H38" s="830">
        <v>-5</v>
      </c>
      <c r="I38" s="798"/>
      <c r="J38" s="802"/>
      <c r="K38" s="43"/>
    </row>
    <row r="39" spans="1:11" ht="12.75">
      <c r="A39" s="782"/>
      <c r="B39" s="130"/>
      <c r="C39" s="1281" t="s">
        <v>594</v>
      </c>
      <c r="D39" s="1281"/>
      <c r="E39" s="854" t="e">
        <f>Background!Q67/Background!Q90</f>
        <v>#DIV/0!</v>
      </c>
      <c r="F39" s="855">
        <f>G39+0.02</f>
        <v>0.02</v>
      </c>
      <c r="G39" s="856">
        <f>Snapshot!U73</f>
        <v>0</v>
      </c>
      <c r="H39" s="857">
        <f>G39-0.02</f>
        <v>-0.02</v>
      </c>
      <c r="I39" s="798"/>
      <c r="J39" s="802"/>
      <c r="K39" s="43"/>
    </row>
    <row r="40" spans="1:11" ht="12.75">
      <c r="A40" s="782"/>
      <c r="B40" s="130"/>
      <c r="C40" s="1284" t="s">
        <v>595</v>
      </c>
      <c r="D40" s="1284"/>
      <c r="E40" s="858"/>
      <c r="F40" s="825"/>
      <c r="G40" s="826"/>
      <c r="H40" s="827"/>
      <c r="I40" s="798"/>
      <c r="J40" s="43"/>
      <c r="K40" s="43"/>
    </row>
    <row r="41" spans="1:11" ht="12.75">
      <c r="A41" s="782"/>
      <c r="B41" s="130"/>
      <c r="C41" s="1281" t="s">
        <v>596</v>
      </c>
      <c r="D41" s="1281"/>
      <c r="E41" s="859" t="e">
        <f>Background!Q77/Reports!I22</f>
        <v>#DIV/0!</v>
      </c>
      <c r="F41" s="860">
        <v>2.5</v>
      </c>
      <c r="G41" s="861">
        <v>3</v>
      </c>
      <c r="H41" s="862">
        <v>3.5</v>
      </c>
      <c r="I41" s="798"/>
      <c r="J41" s="802"/>
      <c r="K41" s="43"/>
    </row>
    <row r="42" spans="1:11" ht="12.75">
      <c r="A42" s="782"/>
      <c r="B42" s="130"/>
      <c r="C42" s="1281" t="s">
        <v>597</v>
      </c>
      <c r="D42" s="1281"/>
      <c r="E42" s="863" t="e">
        <f>Background!Q68/Background!Q77</f>
        <v>#DIV/0!</v>
      </c>
      <c r="F42" s="864">
        <v>20</v>
      </c>
      <c r="G42" s="865">
        <v>15</v>
      </c>
      <c r="H42" s="866">
        <v>10</v>
      </c>
      <c r="I42" s="798"/>
      <c r="J42" s="802"/>
      <c r="K42" s="43"/>
    </row>
    <row r="43" spans="1:11" ht="12.75">
      <c r="A43" s="782"/>
      <c r="B43" s="130"/>
      <c r="C43" s="1281" t="s">
        <v>598</v>
      </c>
      <c r="D43" s="1281"/>
      <c r="E43" s="867" t="e">
        <f>FarmData!H17/FarmData!H8</f>
        <v>#DIV/0!</v>
      </c>
      <c r="F43" s="855">
        <v>1.95</v>
      </c>
      <c r="G43" s="868">
        <v>1.75</v>
      </c>
      <c r="H43" s="869">
        <v>1.55</v>
      </c>
      <c r="I43" s="798"/>
      <c r="J43" s="802"/>
      <c r="K43" s="43"/>
    </row>
    <row r="44" spans="1:11" ht="12.75">
      <c r="A44" s="782"/>
      <c r="B44" s="130"/>
      <c r="C44" s="1281" t="s">
        <v>599</v>
      </c>
      <c r="D44" s="1281"/>
      <c r="E44" s="867" t="e">
        <f>(FarmData!H17-FarmData!H20)/FarmData!H8</f>
        <v>#DIV/0!</v>
      </c>
      <c r="F44" s="855">
        <v>1.75</v>
      </c>
      <c r="G44" s="868">
        <v>1.55</v>
      </c>
      <c r="H44" s="870">
        <v>1.35</v>
      </c>
      <c r="I44" s="798"/>
      <c r="J44" s="802"/>
      <c r="K44" s="43"/>
    </row>
    <row r="45" spans="1:11" ht="12.75">
      <c r="A45" s="782"/>
      <c r="B45" s="130"/>
      <c r="C45" s="1281" t="s">
        <v>600</v>
      </c>
      <c r="D45" s="1281"/>
      <c r="E45" s="854" t="e">
        <f>FarmData!H20/(FarmData!H17+Expenses!H39+FarmData!H16)</f>
        <v>#DIV/0!</v>
      </c>
      <c r="F45" s="855">
        <v>0.1</v>
      </c>
      <c r="G45" s="856">
        <v>0.12</v>
      </c>
      <c r="H45" s="870">
        <v>0.15</v>
      </c>
      <c r="I45" s="798"/>
      <c r="J45" s="802"/>
      <c r="K45" s="43"/>
    </row>
    <row r="46" spans="1:11" ht="12.75">
      <c r="A46" s="782"/>
      <c r="B46" s="130"/>
      <c r="C46" s="1281" t="s">
        <v>246</v>
      </c>
      <c r="D46" s="1281"/>
      <c r="E46" s="854" t="e">
        <f>FarmData!H6/((FarmData!L5+FarmData!H5)/2)</f>
        <v>#DIV/0!</v>
      </c>
      <c r="F46" s="855">
        <v>0.03</v>
      </c>
      <c r="G46" s="868">
        <v>0.04</v>
      </c>
      <c r="H46" s="870">
        <v>0.05</v>
      </c>
      <c r="I46" s="798"/>
      <c r="J46" s="802"/>
      <c r="K46" s="43"/>
    </row>
    <row r="47" spans="1:11" ht="12.75">
      <c r="A47" s="782"/>
      <c r="B47" s="130"/>
      <c r="C47" s="1282" t="s">
        <v>247</v>
      </c>
      <c r="D47" s="1282"/>
      <c r="E47" s="871" t="e">
        <f>FarmData!H13/((FarmData!M5+FarmData!H12)/2)</f>
        <v>#DIV/0!</v>
      </c>
      <c r="F47" s="872">
        <v>0.04</v>
      </c>
      <c r="G47" s="873">
        <v>0.05</v>
      </c>
      <c r="H47" s="874">
        <v>0.06</v>
      </c>
      <c r="I47" s="798"/>
      <c r="J47" s="802"/>
      <c r="K47" s="43"/>
    </row>
    <row r="48" spans="1:11" ht="12.75">
      <c r="A48" s="782"/>
      <c r="B48" s="1280"/>
      <c r="C48" s="1280"/>
      <c r="D48" s="1280"/>
      <c r="E48" s="1280"/>
      <c r="F48" s="1280"/>
      <c r="G48" s="1280"/>
      <c r="H48" s="1280"/>
      <c r="I48" s="616"/>
      <c r="J48" s="43"/>
      <c r="K48" s="43"/>
    </row>
    <row r="49" ht="12.75"/>
  </sheetData>
  <sheetProtection password="DEBF" sheet="1"/>
  <mergeCells count="38">
    <mergeCell ref="C2:F2"/>
    <mergeCell ref="D3:H3"/>
    <mergeCell ref="D4:H4"/>
    <mergeCell ref="C5:H5"/>
    <mergeCell ref="C6:D6"/>
    <mergeCell ref="C7:D7"/>
    <mergeCell ref="C8:D8"/>
    <mergeCell ref="K8:K9"/>
    <mergeCell ref="C9:D9"/>
    <mergeCell ref="F9:H10"/>
    <mergeCell ref="C10:D10"/>
    <mergeCell ref="C11:H11"/>
    <mergeCell ref="K11:L11"/>
    <mergeCell ref="C12:D12"/>
    <mergeCell ref="C13:D13"/>
    <mergeCell ref="C14:D14"/>
    <mergeCell ref="C15:D15"/>
    <mergeCell ref="C16:D16"/>
    <mergeCell ref="C17:H17"/>
    <mergeCell ref="F27:H27"/>
    <mergeCell ref="C28:D28"/>
    <mergeCell ref="C29:D29"/>
    <mergeCell ref="C30:D30"/>
    <mergeCell ref="C31:D31"/>
    <mergeCell ref="C33:D33"/>
    <mergeCell ref="C34:D34"/>
    <mergeCell ref="C36:D36"/>
    <mergeCell ref="C38:D38"/>
    <mergeCell ref="C39:D39"/>
    <mergeCell ref="C40:D40"/>
    <mergeCell ref="C41:D41"/>
    <mergeCell ref="B48:H48"/>
    <mergeCell ref="C42:D42"/>
    <mergeCell ref="C43:D43"/>
    <mergeCell ref="C44:D44"/>
    <mergeCell ref="C45:D45"/>
    <mergeCell ref="C46:D46"/>
    <mergeCell ref="C47:D47"/>
  </mergeCells>
  <hyperlinks>
    <hyperlink ref="K8" location="Menu!E3" display="   Menu   "/>
  </hyperlinks>
  <printOptions/>
  <pageMargins left="0.7" right="0.7" top="0.75" bottom="0.75" header="0.5118055555555555" footer="0.5118055555555555"/>
  <pageSetup horizontalDpi="600" verticalDpi="600" orientation="portrait" scale="95" r:id="rId3"/>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dimension ref="B1:T86"/>
  <sheetViews>
    <sheetView showGridLines="0" showRowColHeaders="0" zoomScaleSheetLayoutView="100" zoomScalePageLayoutView="0" workbookViewId="0" topLeftCell="A1">
      <selection activeCell="E3" sqref="E3:F3"/>
    </sheetView>
  </sheetViews>
  <sheetFormatPr defaultColWidth="9.140625" defaultRowHeight="12.75"/>
  <cols>
    <col min="1" max="1" width="1.57421875" style="41" customWidth="1"/>
    <col min="2" max="2" width="1.421875" style="41" customWidth="1"/>
    <col min="3" max="3" width="18.8515625" style="42" customWidth="1"/>
    <col min="4" max="4" width="1.28515625" style="41" customWidth="1"/>
    <col min="5" max="5" width="2.57421875" style="41" customWidth="1"/>
    <col min="6" max="6" width="116.28125" style="41" customWidth="1"/>
    <col min="7" max="7" width="0.9921875" style="41" customWidth="1"/>
    <col min="8" max="16" width="9.140625" style="41" customWidth="1"/>
    <col min="17" max="17" width="41.57421875" style="41" customWidth="1"/>
    <col min="18" max="18" width="25.28125" style="41" customWidth="1"/>
    <col min="19" max="19" width="23.00390625" style="41" customWidth="1"/>
    <col min="20" max="20" width="18.57421875" style="41" customWidth="1"/>
    <col min="21" max="16384" width="9.140625" style="41" customWidth="1"/>
  </cols>
  <sheetData>
    <row r="1" spans="2:4" ht="6" customHeight="1">
      <c r="B1" s="43"/>
      <c r="C1" s="44"/>
      <c r="D1" s="43"/>
    </row>
    <row r="2" spans="2:7" ht="6" customHeight="1">
      <c r="B2" s="45"/>
      <c r="C2" s="46"/>
      <c r="D2" s="47"/>
      <c r="E2" s="47"/>
      <c r="F2" s="47"/>
      <c r="G2" s="48"/>
    </row>
    <row r="3" spans="2:7" ht="42" customHeight="1">
      <c r="B3" s="49"/>
      <c r="C3" s="50"/>
      <c r="D3" s="51"/>
      <c r="E3" s="1129" t="s">
        <v>16</v>
      </c>
      <c r="F3" s="1129" t="s">
        <v>16</v>
      </c>
      <c r="G3" s="52"/>
    </row>
    <row r="4" spans="2:7" ht="7.5" customHeight="1">
      <c r="B4" s="49"/>
      <c r="C4" s="50"/>
      <c r="D4" s="51"/>
      <c r="E4" s="53"/>
      <c r="F4" s="53"/>
      <c r="G4" s="52"/>
    </row>
    <row r="5" spans="2:7" ht="30.75" customHeight="1">
      <c r="B5" s="49"/>
      <c r="C5" s="50"/>
      <c r="D5" s="51"/>
      <c r="E5" s="1130" t="s">
        <v>17</v>
      </c>
      <c r="F5" s="1130"/>
      <c r="G5" s="52"/>
    </row>
    <row r="6" spans="2:7" ht="30.75" customHeight="1">
      <c r="B6" s="49"/>
      <c r="C6" s="23" t="s">
        <v>2</v>
      </c>
      <c r="D6" s="51"/>
      <c r="E6" s="54" t="s">
        <v>18</v>
      </c>
      <c r="F6" s="55" t="s">
        <v>19</v>
      </c>
      <c r="G6" s="52"/>
    </row>
    <row r="7" spans="2:7" ht="5.25" customHeight="1">
      <c r="B7" s="49"/>
      <c r="C7" s="50"/>
      <c r="D7" s="51"/>
      <c r="E7" s="54"/>
      <c r="F7" s="55"/>
      <c r="G7" s="52"/>
    </row>
    <row r="8" spans="2:7" ht="30.75" customHeight="1">
      <c r="B8" s="49"/>
      <c r="C8" s="56" t="s">
        <v>20</v>
      </c>
      <c r="D8" s="51"/>
      <c r="E8" s="54" t="s">
        <v>18</v>
      </c>
      <c r="F8" s="1131" t="s">
        <v>21</v>
      </c>
      <c r="G8" s="52"/>
    </row>
    <row r="9" spans="2:7" ht="6" customHeight="1">
      <c r="B9" s="49"/>
      <c r="C9" s="57"/>
      <c r="D9" s="51"/>
      <c r="E9" s="54"/>
      <c r="F9" s="1131"/>
      <c r="G9" s="52"/>
    </row>
    <row r="10" spans="2:7" ht="30.75" customHeight="1">
      <c r="B10" s="49"/>
      <c r="C10" s="931" t="s">
        <v>22</v>
      </c>
      <c r="D10" s="51"/>
      <c r="E10" s="54" t="s">
        <v>18</v>
      </c>
      <c r="F10" s="55" t="s">
        <v>23</v>
      </c>
      <c r="G10" s="52"/>
    </row>
    <row r="11" spans="2:7" ht="7.5" customHeight="1">
      <c r="B11" s="49"/>
      <c r="C11" s="50"/>
      <c r="D11" s="51"/>
      <c r="E11" s="54"/>
      <c r="F11" s="55"/>
      <c r="G11" s="52"/>
    </row>
    <row r="12" spans="2:7" ht="30.75" customHeight="1">
      <c r="B12" s="49"/>
      <c r="C12" s="931" t="s">
        <v>24</v>
      </c>
      <c r="D12" s="51"/>
      <c r="E12" s="54" t="s">
        <v>18</v>
      </c>
      <c r="F12" s="55" t="s">
        <v>25</v>
      </c>
      <c r="G12" s="52"/>
    </row>
    <row r="13" spans="2:7" ht="7.5" customHeight="1">
      <c r="B13" s="49"/>
      <c r="C13" s="50"/>
      <c r="D13" s="51"/>
      <c r="E13" s="54"/>
      <c r="F13" s="55"/>
      <c r="G13" s="52"/>
    </row>
    <row r="14" spans="2:7" ht="30.75" customHeight="1">
      <c r="B14" s="49"/>
      <c r="C14" s="931" t="s">
        <v>26</v>
      </c>
      <c r="D14" s="51"/>
      <c r="E14" s="54" t="s">
        <v>18</v>
      </c>
      <c r="F14" s="55" t="s">
        <v>27</v>
      </c>
      <c r="G14" s="52"/>
    </row>
    <row r="15" spans="2:7" ht="9" customHeight="1">
      <c r="B15" s="49"/>
      <c r="C15" s="50"/>
      <c r="D15" s="51"/>
      <c r="E15" s="54"/>
      <c r="F15" s="55"/>
      <c r="G15" s="52"/>
    </row>
    <row r="16" spans="2:7" ht="30.75" customHeight="1">
      <c r="B16" s="49"/>
      <c r="C16" s="931" t="s">
        <v>28</v>
      </c>
      <c r="D16" s="51"/>
      <c r="E16" s="54" t="s">
        <v>18</v>
      </c>
      <c r="F16" s="1132" t="s">
        <v>29</v>
      </c>
      <c r="G16" s="52"/>
    </row>
    <row r="17" spans="2:7" ht="7.5" customHeight="1">
      <c r="B17" s="49"/>
      <c r="C17" s="50"/>
      <c r="D17" s="51"/>
      <c r="E17" s="58"/>
      <c r="F17" s="1132"/>
      <c r="G17" s="52"/>
    </row>
    <row r="18" spans="2:7" ht="7.5" customHeight="1">
      <c r="B18" s="49"/>
      <c r="C18" s="50"/>
      <c r="D18" s="51"/>
      <c r="E18" s="59"/>
      <c r="F18" s="60"/>
      <c r="G18" s="52"/>
    </row>
    <row r="19" spans="2:7" ht="30.75" customHeight="1">
      <c r="B19" s="49"/>
      <c r="C19" s="50"/>
      <c r="D19" s="51"/>
      <c r="E19" s="1125" t="s">
        <v>30</v>
      </c>
      <c r="F19" s="1125"/>
      <c r="G19" s="52"/>
    </row>
    <row r="20" spans="2:7" ht="30.75" customHeight="1">
      <c r="B20" s="49"/>
      <c r="C20" s="932" t="s">
        <v>31</v>
      </c>
      <c r="D20" s="51"/>
      <c r="E20" s="61" t="s">
        <v>18</v>
      </c>
      <c r="F20" s="1124" t="s">
        <v>32</v>
      </c>
      <c r="G20" s="52"/>
    </row>
    <row r="21" spans="2:7" ht="7.5" customHeight="1">
      <c r="B21" s="49"/>
      <c r="C21" s="50"/>
      <c r="D21" s="51"/>
      <c r="E21" s="61"/>
      <c r="F21" s="1124"/>
      <c r="G21" s="52"/>
    </row>
    <row r="22" spans="2:7" ht="30.75" customHeight="1">
      <c r="B22" s="49"/>
      <c r="C22" s="932" t="s">
        <v>33</v>
      </c>
      <c r="D22" s="51"/>
      <c r="E22" s="62" t="s">
        <v>18</v>
      </c>
      <c r="F22" s="63" t="s">
        <v>34</v>
      </c>
      <c r="G22" s="52"/>
    </row>
    <row r="23" spans="2:7" ht="7.5" customHeight="1">
      <c r="B23" s="49"/>
      <c r="C23" s="50"/>
      <c r="D23" s="51"/>
      <c r="E23" s="59"/>
      <c r="F23" s="60"/>
      <c r="G23" s="52"/>
    </row>
    <row r="24" spans="2:7" ht="28.5" customHeight="1">
      <c r="B24" s="49"/>
      <c r="C24" s="50"/>
      <c r="D24" s="51"/>
      <c r="E24" s="1125" t="s">
        <v>35</v>
      </c>
      <c r="F24" s="1125"/>
      <c r="G24" s="52"/>
    </row>
    <row r="25" spans="2:7" ht="30.75" customHeight="1">
      <c r="B25" s="49"/>
      <c r="C25" s="930" t="s">
        <v>36</v>
      </c>
      <c r="D25" s="51"/>
      <c r="E25" s="64" t="s">
        <v>18</v>
      </c>
      <c r="F25" s="1126" t="s">
        <v>37</v>
      </c>
      <c r="G25" s="52"/>
    </row>
    <row r="26" spans="2:7" ht="7.5" customHeight="1">
      <c r="B26" s="49"/>
      <c r="C26" s="50"/>
      <c r="D26" s="51"/>
      <c r="E26" s="64"/>
      <c r="F26" s="1126"/>
      <c r="G26" s="52"/>
    </row>
    <row r="27" spans="2:7" ht="30.75" customHeight="1">
      <c r="B27" s="49"/>
      <c r="C27" s="930" t="s">
        <v>38</v>
      </c>
      <c r="D27" s="51"/>
      <c r="E27" s="64" t="s">
        <v>18</v>
      </c>
      <c r="F27" s="1126" t="s">
        <v>631</v>
      </c>
      <c r="G27" s="52"/>
    </row>
    <row r="28" spans="2:7" ht="7.5" customHeight="1">
      <c r="B28" s="49"/>
      <c r="C28" s="50"/>
      <c r="D28" s="51"/>
      <c r="E28" s="64"/>
      <c r="F28" s="1126"/>
      <c r="G28" s="52"/>
    </row>
    <row r="29" spans="2:7" ht="30.75" customHeight="1">
      <c r="B29" s="49"/>
      <c r="C29" s="930" t="s">
        <v>39</v>
      </c>
      <c r="D29" s="51"/>
      <c r="E29" s="64" t="s">
        <v>18</v>
      </c>
      <c r="F29" s="1127" t="s">
        <v>632</v>
      </c>
      <c r="G29" s="52"/>
    </row>
    <row r="30" spans="2:7" ht="7.5" customHeight="1">
      <c r="B30" s="49"/>
      <c r="C30" s="65"/>
      <c r="D30" s="51"/>
      <c r="E30" s="66"/>
      <c r="F30" s="1127"/>
      <c r="G30" s="52"/>
    </row>
    <row r="31" spans="2:7" ht="7.5" customHeight="1">
      <c r="B31" s="49"/>
      <c r="C31" s="50"/>
      <c r="D31" s="51"/>
      <c r="E31" s="59"/>
      <c r="F31" s="60"/>
      <c r="G31" s="52"/>
    </row>
    <row r="32" spans="2:7" ht="27" customHeight="1">
      <c r="B32" s="49"/>
      <c r="C32" s="50"/>
      <c r="D32" s="51"/>
      <c r="E32" s="1128" t="s">
        <v>40</v>
      </c>
      <c r="F32" s="1128"/>
      <c r="G32" s="52"/>
    </row>
    <row r="33" spans="2:7" ht="30.75" customHeight="1">
      <c r="B33" s="49"/>
      <c r="C33" s="933" t="s">
        <v>41</v>
      </c>
      <c r="D33" s="51"/>
      <c r="E33" s="67"/>
      <c r="F33" s="68" t="s">
        <v>42</v>
      </c>
      <c r="G33" s="52"/>
    </row>
    <row r="34" spans="2:7" ht="7.5" customHeight="1">
      <c r="B34" s="49"/>
      <c r="C34" s="50"/>
      <c r="D34" s="51"/>
      <c r="E34" s="67"/>
      <c r="F34" s="68"/>
      <c r="G34" s="52"/>
    </row>
    <row r="35" spans="2:7" ht="30.75" customHeight="1">
      <c r="B35" s="49"/>
      <c r="C35" s="933" t="s">
        <v>43</v>
      </c>
      <c r="D35" s="51"/>
      <c r="E35" s="69"/>
      <c r="F35" s="70" t="s">
        <v>44</v>
      </c>
      <c r="G35" s="52"/>
    </row>
    <row r="36" spans="2:7" ht="8.25" customHeight="1">
      <c r="B36" s="49"/>
      <c r="C36" s="50"/>
      <c r="D36" s="51"/>
      <c r="E36" s="71"/>
      <c r="F36" s="71"/>
      <c r="G36" s="52"/>
    </row>
    <row r="37" spans="2:7" ht="7.5" customHeight="1">
      <c r="B37" s="72"/>
      <c r="C37" s="73"/>
      <c r="D37" s="74"/>
      <c r="E37" s="74"/>
      <c r="F37" s="74"/>
      <c r="G37" s="75"/>
    </row>
    <row r="55" spans="17:20" ht="22.5">
      <c r="Q55" s="76"/>
      <c r="R55" s="77"/>
      <c r="S55" s="78"/>
      <c r="T55" s="78"/>
    </row>
    <row r="56" spans="19:20" ht="22.5">
      <c r="S56" s="78"/>
      <c r="T56" s="79"/>
    </row>
    <row r="58" ht="22.5">
      <c r="T58" s="80"/>
    </row>
    <row r="63" ht="22.5">
      <c r="S63" s="81"/>
    </row>
    <row r="68" ht="22.5">
      <c r="T68" s="80"/>
    </row>
    <row r="69" ht="22.5">
      <c r="T69" s="80"/>
    </row>
    <row r="75" ht="22.5">
      <c r="T75" s="80"/>
    </row>
    <row r="76" ht="22.5">
      <c r="T76" s="80"/>
    </row>
    <row r="84" spans="19:20" ht="22.5">
      <c r="S84" s="82"/>
      <c r="T84" s="82"/>
    </row>
    <row r="85" spans="19:20" ht="22.5">
      <c r="S85" s="82"/>
      <c r="T85" s="82"/>
    </row>
    <row r="86" spans="19:20" ht="22.5">
      <c r="S86" s="82"/>
      <c r="T86" s="82"/>
    </row>
  </sheetData>
  <sheetProtection password="DEBF" sheet="1"/>
  <mergeCells count="11">
    <mergeCell ref="E3:F3"/>
    <mergeCell ref="E5:F5"/>
    <mergeCell ref="F8:F9"/>
    <mergeCell ref="F16:F17"/>
    <mergeCell ref="E19:F19"/>
    <mergeCell ref="F20:F21"/>
    <mergeCell ref="E24:F24"/>
    <mergeCell ref="F25:F26"/>
    <mergeCell ref="F27:F28"/>
    <mergeCell ref="F29:F30"/>
    <mergeCell ref="E32:F32"/>
  </mergeCells>
  <hyperlinks>
    <hyperlink ref="C6" location="FarmData!H5" display="   Next  "/>
    <hyperlink ref="C8" location="Welcome!E17" display="   Back   "/>
    <hyperlink ref="C10" location="Equipment!F8" display="Equipment"/>
    <hyperlink ref="C12" location="Income!G9" display="Income"/>
    <hyperlink ref="C14" location="Expenses!H9" display="Expenses"/>
    <hyperlink ref="C16" location="Targets!I8" display="Targets"/>
    <hyperlink ref="C20" location="Snapshot!C69" display="  Snapshot  "/>
    <hyperlink ref="C22" location="Reports!C2" display="  Reports  "/>
    <hyperlink ref="C25" location="Calculators!E3" display="  Calculators  "/>
    <hyperlink ref="C27" location="Diagnosis!E3" display="  Diagnosis  "/>
    <hyperlink ref="C29" location="Actions!E3" display="  Actions  "/>
    <hyperlink ref="C33" location="Background!F3" display="  Background  "/>
    <hyperlink ref="C35" location="Old Snap!C2" display="  Old Snapshot  "/>
  </hyperlinks>
  <printOptions/>
  <pageMargins left="0.7" right="0.7" top="0.75" bottom="0.75" header="0.5118055555555555" footer="0.5118055555555555"/>
  <pageSetup horizontalDpi="300" verticalDpi="300" orientation="portrait" scale="63" r:id="rId4"/>
  <drawing r:id="rId3"/>
  <legacyDrawing r:id="rId2"/>
</worksheet>
</file>

<file path=xl/worksheets/sheet3.xml><?xml version="1.0" encoding="utf-8"?>
<worksheet xmlns="http://schemas.openxmlformats.org/spreadsheetml/2006/main" xmlns:r="http://schemas.openxmlformats.org/officeDocument/2006/relationships">
  <dimension ref="B2:Q71"/>
  <sheetViews>
    <sheetView showGridLines="0" showRowColHeaders="0" zoomScale="80" zoomScaleNormal="80" zoomScaleSheetLayoutView="100" workbookViewId="0" topLeftCell="A1">
      <selection activeCell="H38" sqref="H38"/>
    </sheetView>
  </sheetViews>
  <sheetFormatPr defaultColWidth="9.140625" defaultRowHeight="12.75"/>
  <cols>
    <col min="1" max="1" width="2.00390625" style="41" customWidth="1"/>
    <col min="2" max="2" width="1.421875" style="41" customWidth="1"/>
    <col min="3" max="3" width="20.00390625" style="41" customWidth="1"/>
    <col min="4" max="4" width="0.9921875" style="41" customWidth="1"/>
    <col min="5" max="5" width="21.421875" style="41" customWidth="1"/>
    <col min="6" max="6" width="19.7109375" style="41" customWidth="1"/>
    <col min="7" max="7" width="49.421875" style="41" customWidth="1"/>
    <col min="8" max="8" width="20.7109375" style="41" customWidth="1"/>
    <col min="9" max="9" width="0.85546875" style="41" customWidth="1"/>
    <col min="10" max="10" width="1.8515625" style="41" customWidth="1"/>
    <col min="11" max="11" width="40.00390625" style="41" customWidth="1"/>
    <col min="12" max="12" width="23.7109375" style="41" hidden="1" customWidth="1"/>
    <col min="13" max="13" width="13.57421875" style="41" hidden="1" customWidth="1"/>
    <col min="14" max="14" width="14.421875" style="41" hidden="1" customWidth="1"/>
    <col min="15" max="15" width="14.8515625" style="41" hidden="1" customWidth="1"/>
    <col min="16" max="16" width="13.28125" style="41" hidden="1" customWidth="1"/>
    <col min="17" max="17" width="15.00390625" style="41" hidden="1" customWidth="1"/>
    <col min="18" max="18" width="18.00390625" style="41" customWidth="1"/>
    <col min="19" max="43" width="9.140625" style="41" customWidth="1"/>
    <col min="44" max="44" width="1.421875" style="41" customWidth="1"/>
    <col min="45" max="45" width="14.421875" style="41" customWidth="1"/>
    <col min="46" max="46" width="15.421875" style="41" customWidth="1"/>
    <col min="47" max="47" width="18.8515625" style="41" customWidth="1"/>
    <col min="48" max="48" width="18.140625" style="41" customWidth="1"/>
    <col min="49" max="49" width="16.421875" style="41" customWidth="1"/>
    <col min="50" max="50" width="17.00390625" style="41" customWidth="1"/>
    <col min="51" max="51" width="18.140625" style="41" customWidth="1"/>
    <col min="52" max="52" width="21.57421875" style="41" customWidth="1"/>
    <col min="53" max="16384" width="9.140625" style="41" customWidth="1"/>
  </cols>
  <sheetData>
    <row r="1" ht="4.5" customHeight="1"/>
    <row r="2" spans="2:9" ht="4.5" customHeight="1" thickBot="1">
      <c r="B2" s="45"/>
      <c r="C2" s="47"/>
      <c r="D2" s="47"/>
      <c r="E2" s="47"/>
      <c r="F2" s="47"/>
      <c r="G2" s="47"/>
      <c r="H2" s="47"/>
      <c r="I2" s="48"/>
    </row>
    <row r="3" spans="2:17" ht="35.25" thickBot="1">
      <c r="B3" s="49"/>
      <c r="C3" s="51"/>
      <c r="D3" s="51"/>
      <c r="E3" s="1133" t="s">
        <v>677</v>
      </c>
      <c r="F3" s="1134"/>
      <c r="G3" s="1134"/>
      <c r="H3" s="990">
        <f>Welcome!H25</f>
        <v>2011</v>
      </c>
      <c r="I3" s="52"/>
      <c r="L3" s="83" t="s">
        <v>46</v>
      </c>
      <c r="M3" s="83" t="s">
        <v>47</v>
      </c>
      <c r="N3" s="83" t="s">
        <v>48</v>
      </c>
      <c r="O3" s="83" t="s">
        <v>49</v>
      </c>
      <c r="P3" s="83" t="s">
        <v>50</v>
      </c>
      <c r="Q3" s="83" t="s">
        <v>51</v>
      </c>
    </row>
    <row r="4" spans="2:17" ht="6" customHeight="1" thickBot="1">
      <c r="B4" s="49"/>
      <c r="C4" s="51"/>
      <c r="D4" s="51"/>
      <c r="E4" s="51"/>
      <c r="F4" s="51"/>
      <c r="G4" s="51"/>
      <c r="H4" s="51"/>
      <c r="I4" s="52"/>
      <c r="J4" s="84"/>
      <c r="L4" s="85"/>
      <c r="M4" s="85"/>
      <c r="N4" s="85"/>
      <c r="O4" s="85"/>
      <c r="P4" s="85"/>
      <c r="Q4" s="85"/>
    </row>
    <row r="5" spans="2:14" ht="16.5" customHeight="1">
      <c r="B5" s="49"/>
      <c r="C5" s="51"/>
      <c r="D5" s="51"/>
      <c r="E5" s="86" t="s">
        <v>52</v>
      </c>
      <c r="F5" s="87" t="s">
        <v>53</v>
      </c>
      <c r="G5" s="88" t="s">
        <v>54</v>
      </c>
      <c r="H5" s="110"/>
      <c r="I5" s="90"/>
      <c r="J5" s="84"/>
      <c r="K5" s="1006" t="s">
        <v>689</v>
      </c>
      <c r="L5" s="1018">
        <f>FarmData!H5+Expenses!H40+FarmData!H18-Reports!I20-FarmData!H6</f>
        <v>0</v>
      </c>
      <c r="M5" s="91">
        <f>FarmData!H12+Expenses!H41+FarmData!H19-Reports!I21-FarmData!H13</f>
        <v>0</v>
      </c>
      <c r="N5" s="91">
        <f>FarmData!H16+Expenses!H39+FarmData!H17-FarmData!H18-FarmData!H19-Reports!I22-FarmData!H20</f>
        <v>0</v>
      </c>
    </row>
    <row r="6" spans="2:14" ht="16.5" customHeight="1">
      <c r="B6" s="49"/>
      <c r="C6" s="51"/>
      <c r="D6" s="51"/>
      <c r="E6" s="92"/>
      <c r="F6" s="93"/>
      <c r="G6" s="94" t="s">
        <v>55</v>
      </c>
      <c r="H6" s="1054"/>
      <c r="I6" s="90"/>
      <c r="J6" s="84"/>
      <c r="K6" s="996"/>
      <c r="L6" s="1018"/>
      <c r="M6" s="91"/>
      <c r="N6" s="91"/>
    </row>
    <row r="7" spans="2:17" ht="16.5" customHeight="1">
      <c r="B7" s="49"/>
      <c r="C7" s="51"/>
      <c r="D7" s="51"/>
      <c r="E7" s="49"/>
      <c r="F7" s="93"/>
      <c r="G7" s="94" t="s">
        <v>56</v>
      </c>
      <c r="H7" s="95"/>
      <c r="I7" s="90"/>
      <c r="J7" s="84"/>
      <c r="K7" s="996"/>
      <c r="L7" s="1019">
        <f>FarmData!L5*FarmData!H7</f>
        <v>0</v>
      </c>
      <c r="M7" s="96">
        <f>FarmData!M5*FarmData!H14</f>
        <v>0</v>
      </c>
      <c r="N7" s="96">
        <f>FarmData!N5*FarmData!H21</f>
        <v>0</v>
      </c>
      <c r="O7" s="96">
        <f>FarmData!H23*FarmData!H24</f>
        <v>0</v>
      </c>
      <c r="P7" s="96">
        <f>FarmData!H25*FarmData!H26</f>
        <v>0</v>
      </c>
      <c r="Q7" s="96">
        <f>SUM(H28:H29)</f>
        <v>0</v>
      </c>
    </row>
    <row r="8" spans="2:17" ht="16.5" customHeight="1" thickBot="1">
      <c r="B8" s="49"/>
      <c r="C8" s="51"/>
      <c r="D8" s="51"/>
      <c r="E8" s="49"/>
      <c r="F8" s="93"/>
      <c r="G8" s="94" t="s">
        <v>57</v>
      </c>
      <c r="H8" s="1054"/>
      <c r="I8" s="90"/>
      <c r="J8" s="84"/>
      <c r="K8" s="996"/>
      <c r="L8" s="1020" t="s">
        <v>58</v>
      </c>
      <c r="M8" s="97">
        <f>SUM(L7:Q7)</f>
        <v>0</v>
      </c>
      <c r="N8" s="84"/>
      <c r="O8" s="84"/>
      <c r="P8" s="84"/>
      <c r="Q8" s="84"/>
    </row>
    <row r="9" spans="2:17" ht="16.5" customHeight="1" thickBot="1">
      <c r="B9" s="49"/>
      <c r="C9" s="1137" t="s">
        <v>2</v>
      </c>
      <c r="D9" s="51"/>
      <c r="E9" s="49"/>
      <c r="F9" s="93"/>
      <c r="G9" s="94" t="s">
        <v>59</v>
      </c>
      <c r="H9" s="1054"/>
      <c r="I9" s="90"/>
      <c r="J9" s="84"/>
      <c r="K9" s="996"/>
      <c r="L9" s="1021"/>
      <c r="M9" s="98"/>
      <c r="N9" s="84"/>
      <c r="O9" s="84"/>
      <c r="P9" s="84"/>
      <c r="Q9" s="84"/>
    </row>
    <row r="10" spans="2:11" ht="16.5" customHeight="1" thickBot="1">
      <c r="B10" s="49"/>
      <c r="C10" s="1137"/>
      <c r="D10" s="51"/>
      <c r="E10" s="49"/>
      <c r="F10" s="99"/>
      <c r="G10" s="100" t="s">
        <v>60</v>
      </c>
      <c r="H10" s="1055"/>
      <c r="I10" s="90"/>
      <c r="J10" s="84"/>
      <c r="K10" s="996"/>
    </row>
    <row r="11" spans="2:11" ht="5.25" customHeight="1" thickBot="1">
      <c r="B11" s="49"/>
      <c r="C11" s="51"/>
      <c r="D11" s="51"/>
      <c r="E11" s="49"/>
      <c r="F11" s="101"/>
      <c r="G11" s="102"/>
      <c r="H11" s="102"/>
      <c r="I11" s="52"/>
      <c r="J11" s="84"/>
      <c r="K11" s="996"/>
    </row>
    <row r="12" spans="2:17" ht="16.5" customHeight="1" thickBot="1">
      <c r="B12" s="49"/>
      <c r="C12" s="1138" t="s">
        <v>20</v>
      </c>
      <c r="D12" s="51"/>
      <c r="E12" s="49"/>
      <c r="F12" s="103" t="s">
        <v>61</v>
      </c>
      <c r="G12" s="88" t="s">
        <v>62</v>
      </c>
      <c r="H12" s="89"/>
      <c r="I12" s="90"/>
      <c r="J12" s="84"/>
      <c r="K12" s="996"/>
      <c r="L12" s="41" t="s">
        <v>63</v>
      </c>
      <c r="M12" s="41" t="s">
        <v>64</v>
      </c>
      <c r="N12" s="41" t="s">
        <v>65</v>
      </c>
      <c r="O12" s="41" t="s">
        <v>66</v>
      </c>
      <c r="P12" s="41" t="s">
        <v>67</v>
      </c>
      <c r="Q12" s="41" t="s">
        <v>68</v>
      </c>
    </row>
    <row r="13" spans="2:17" ht="16.5" customHeight="1" thickBot="1">
      <c r="B13" s="49"/>
      <c r="C13" s="1138"/>
      <c r="D13" s="51"/>
      <c r="E13" s="49"/>
      <c r="F13" s="104"/>
      <c r="G13" s="94" t="s">
        <v>69</v>
      </c>
      <c r="H13" s="105"/>
      <c r="I13" s="90"/>
      <c r="J13" s="84"/>
      <c r="K13" s="1022"/>
      <c r="L13" s="41">
        <f>H5*H7</f>
        <v>0</v>
      </c>
      <c r="M13" s="41">
        <f>H12*H14</f>
        <v>0</v>
      </c>
      <c r="N13" s="41">
        <f>H16*H21</f>
        <v>0</v>
      </c>
      <c r="O13" s="41">
        <f>O7</f>
        <v>0</v>
      </c>
      <c r="P13" s="41">
        <f>P7</f>
        <v>0</v>
      </c>
      <c r="Q13" s="41">
        <f>Q7</f>
        <v>0</v>
      </c>
    </row>
    <row r="14" spans="2:12" ht="16.5" customHeight="1">
      <c r="B14" s="49"/>
      <c r="C14" s="51"/>
      <c r="D14" s="51"/>
      <c r="E14" s="49"/>
      <c r="F14" s="106"/>
      <c r="G14" s="100" t="s">
        <v>70</v>
      </c>
      <c r="H14" s="107"/>
      <c r="I14" s="90"/>
      <c r="J14" s="84"/>
      <c r="K14" s="996"/>
      <c r="L14" s="108">
        <f>SUM(L13:Q13)</f>
        <v>0</v>
      </c>
    </row>
    <row r="15" spans="2:11" ht="5.25" customHeight="1" thickBot="1">
      <c r="B15" s="49"/>
      <c r="C15" s="51"/>
      <c r="D15" s="51"/>
      <c r="E15" s="49"/>
      <c r="F15" s="109"/>
      <c r="G15" s="102"/>
      <c r="H15" s="102"/>
      <c r="I15" s="52"/>
      <c r="J15" s="84"/>
      <c r="K15" s="996"/>
    </row>
    <row r="16" spans="2:11" ht="16.5" customHeight="1" thickBot="1">
      <c r="B16" s="49"/>
      <c r="C16" s="1138" t="s">
        <v>71</v>
      </c>
      <c r="D16" s="51"/>
      <c r="E16" s="49"/>
      <c r="F16" s="103" t="s">
        <v>72</v>
      </c>
      <c r="G16" s="88" t="s">
        <v>73</v>
      </c>
      <c r="H16" s="89"/>
      <c r="I16" s="90"/>
      <c r="J16" s="84"/>
      <c r="K16" s="996"/>
    </row>
    <row r="17" spans="2:11" ht="16.5" customHeight="1" thickBot="1">
      <c r="B17" s="49"/>
      <c r="C17" s="1138"/>
      <c r="D17" s="51"/>
      <c r="E17" s="49"/>
      <c r="F17" s="104"/>
      <c r="G17" s="94" t="s">
        <v>74</v>
      </c>
      <c r="H17" s="105"/>
      <c r="I17" s="90"/>
      <c r="J17" s="84"/>
      <c r="K17" s="996"/>
    </row>
    <row r="18" spans="2:11" ht="16.5" customHeight="1">
      <c r="B18" s="49"/>
      <c r="C18" s="51"/>
      <c r="D18" s="51"/>
      <c r="E18" s="49"/>
      <c r="F18" s="104"/>
      <c r="G18" s="94" t="s">
        <v>75</v>
      </c>
      <c r="H18" s="105"/>
      <c r="I18" s="90"/>
      <c r="J18" s="84"/>
      <c r="K18" s="996"/>
    </row>
    <row r="19" spans="2:11" ht="16.5" customHeight="1">
      <c r="B19" s="49"/>
      <c r="C19" s="51"/>
      <c r="D19" s="51"/>
      <c r="E19" s="49"/>
      <c r="F19" s="104"/>
      <c r="G19" s="94" t="s">
        <v>76</v>
      </c>
      <c r="H19" s="105"/>
      <c r="I19" s="90"/>
      <c r="J19" s="84"/>
      <c r="K19" s="1022"/>
    </row>
    <row r="20" spans="2:11" ht="16.5" customHeight="1">
      <c r="B20" s="49"/>
      <c r="C20" s="51"/>
      <c r="D20" s="51"/>
      <c r="E20" s="49"/>
      <c r="F20" s="104"/>
      <c r="G20" s="94" t="s">
        <v>77</v>
      </c>
      <c r="H20" s="105"/>
      <c r="I20" s="90"/>
      <c r="J20" s="84"/>
      <c r="K20" s="996"/>
    </row>
    <row r="21" spans="2:11" ht="16.5" customHeight="1">
      <c r="B21" s="49"/>
      <c r="C21" s="51"/>
      <c r="D21" s="51"/>
      <c r="E21" s="49"/>
      <c r="F21" s="106"/>
      <c r="G21" s="100" t="s">
        <v>78</v>
      </c>
      <c r="H21" s="107"/>
      <c r="I21" s="90"/>
      <c r="J21" s="84"/>
      <c r="K21" s="1022"/>
    </row>
    <row r="22" spans="2:11" ht="5.25" customHeight="1">
      <c r="B22" s="49"/>
      <c r="C22" s="51"/>
      <c r="D22" s="51"/>
      <c r="E22" s="49"/>
      <c r="F22" s="102"/>
      <c r="G22" s="51"/>
      <c r="H22" s="102"/>
      <c r="I22" s="52"/>
      <c r="J22" s="84"/>
      <c r="K22" s="996"/>
    </row>
    <row r="23" spans="2:11" ht="16.5" customHeight="1">
      <c r="B23" s="49"/>
      <c r="C23" s="51"/>
      <c r="D23" s="51"/>
      <c r="E23" s="49"/>
      <c r="F23" s="87" t="s">
        <v>79</v>
      </c>
      <c r="G23" s="88" t="s">
        <v>80</v>
      </c>
      <c r="H23" s="110"/>
      <c r="I23" s="90"/>
      <c r="J23" s="84"/>
      <c r="K23" s="996"/>
    </row>
    <row r="24" spans="2:11" ht="16.5" customHeight="1">
      <c r="B24" s="49"/>
      <c r="C24" s="51"/>
      <c r="D24" s="51"/>
      <c r="E24" s="49"/>
      <c r="F24" s="111"/>
      <c r="G24" s="94" t="s">
        <v>81</v>
      </c>
      <c r="H24" s="95"/>
      <c r="I24" s="90"/>
      <c r="J24" s="84"/>
      <c r="K24" s="996"/>
    </row>
    <row r="25" spans="2:11" ht="16.5" customHeight="1">
      <c r="B25" s="49"/>
      <c r="C25" s="51"/>
      <c r="D25" s="51"/>
      <c r="E25" s="49"/>
      <c r="F25" s="111"/>
      <c r="G25" s="94" t="s">
        <v>82</v>
      </c>
      <c r="H25" s="112"/>
      <c r="I25" s="90"/>
      <c r="J25" s="84"/>
      <c r="K25" s="996"/>
    </row>
    <row r="26" spans="2:11" ht="16.5" customHeight="1">
      <c r="B26" s="49"/>
      <c r="C26" s="51"/>
      <c r="D26" s="51"/>
      <c r="E26" s="49"/>
      <c r="F26" s="113"/>
      <c r="G26" s="100" t="s">
        <v>83</v>
      </c>
      <c r="H26" s="107"/>
      <c r="I26" s="90"/>
      <c r="J26" s="84"/>
      <c r="K26" s="996"/>
    </row>
    <row r="27" spans="2:11" ht="5.25" customHeight="1">
      <c r="B27" s="49"/>
      <c r="C27" s="51"/>
      <c r="D27" s="51"/>
      <c r="E27" s="49"/>
      <c r="F27" s="102"/>
      <c r="G27" s="102"/>
      <c r="H27" s="114"/>
      <c r="I27" s="52"/>
      <c r="J27" s="84"/>
      <c r="K27" s="996"/>
    </row>
    <row r="28" spans="2:11" ht="16.5" customHeight="1">
      <c r="B28" s="49"/>
      <c r="C28" s="51"/>
      <c r="D28" s="51"/>
      <c r="E28" s="49"/>
      <c r="F28" s="1139" t="s">
        <v>166</v>
      </c>
      <c r="G28" s="115">
        <v>0</v>
      </c>
      <c r="H28" s="116">
        <v>0</v>
      </c>
      <c r="I28" s="90"/>
      <c r="J28" s="84"/>
      <c r="K28" s="996"/>
    </row>
    <row r="29" spans="2:11" ht="16.5" customHeight="1">
      <c r="B29" s="49"/>
      <c r="C29" s="51"/>
      <c r="D29" s="51"/>
      <c r="E29" s="72"/>
      <c r="F29" s="1139"/>
      <c r="G29" s="117">
        <v>0</v>
      </c>
      <c r="H29" s="107">
        <v>0</v>
      </c>
      <c r="I29" s="90"/>
      <c r="J29" s="84"/>
      <c r="K29" s="996"/>
    </row>
    <row r="30" spans="2:11" ht="5.25" customHeight="1" thickBot="1">
      <c r="B30" s="49"/>
      <c r="C30" s="51"/>
      <c r="D30" s="51"/>
      <c r="E30" s="51"/>
      <c r="F30" s="102"/>
      <c r="G30" s="102"/>
      <c r="H30" s="118"/>
      <c r="I30" s="52"/>
      <c r="J30" s="84"/>
      <c r="K30" s="996"/>
    </row>
    <row r="31" spans="2:11" ht="16.5" customHeight="1" thickBot="1">
      <c r="B31" s="49"/>
      <c r="C31" s="1137" t="s">
        <v>85</v>
      </c>
      <c r="D31" s="51"/>
      <c r="E31" s="86" t="s">
        <v>86</v>
      </c>
      <c r="F31" s="1139" t="s">
        <v>87</v>
      </c>
      <c r="G31" s="88" t="s">
        <v>88</v>
      </c>
      <c r="H31" s="119"/>
      <c r="I31" s="90"/>
      <c r="J31" s="84"/>
      <c r="K31" s="996"/>
    </row>
    <row r="32" spans="2:11" ht="16.5" customHeight="1" thickBot="1">
      <c r="B32" s="49"/>
      <c r="C32" s="1137"/>
      <c r="D32" s="51"/>
      <c r="E32" s="49"/>
      <c r="F32" s="1139"/>
      <c r="G32" s="100" t="s">
        <v>89</v>
      </c>
      <c r="H32" s="120"/>
      <c r="I32" s="90"/>
      <c r="J32" s="84"/>
      <c r="K32" s="996"/>
    </row>
    <row r="33" spans="2:11" ht="5.25" customHeight="1">
      <c r="B33" s="49"/>
      <c r="C33" s="51"/>
      <c r="D33" s="51"/>
      <c r="E33" s="49"/>
      <c r="F33" s="51"/>
      <c r="G33" s="102"/>
      <c r="H33" s="121"/>
      <c r="I33" s="52"/>
      <c r="J33" s="84"/>
      <c r="K33" s="996"/>
    </row>
    <row r="34" spans="2:11" ht="16.5" customHeight="1">
      <c r="B34" s="49"/>
      <c r="C34" s="51"/>
      <c r="D34" s="51"/>
      <c r="E34" s="49"/>
      <c r="F34" s="87" t="s">
        <v>90</v>
      </c>
      <c r="G34" s="88" t="s">
        <v>91</v>
      </c>
      <c r="H34" s="122">
        <v>18</v>
      </c>
      <c r="I34" s="90"/>
      <c r="J34" s="84"/>
      <c r="K34" s="996"/>
    </row>
    <row r="35" spans="2:11" ht="16.5" customHeight="1">
      <c r="B35" s="49"/>
      <c r="C35" s="51"/>
      <c r="D35" s="51"/>
      <c r="E35" s="72"/>
      <c r="F35" s="123"/>
      <c r="G35" s="100" t="s">
        <v>92</v>
      </c>
      <c r="H35" s="124">
        <v>25</v>
      </c>
      <c r="I35" s="90"/>
      <c r="J35" s="84"/>
      <c r="K35" s="996"/>
    </row>
    <row r="36" spans="2:11" ht="5.25" customHeight="1">
      <c r="B36" s="49"/>
      <c r="C36" s="51"/>
      <c r="D36" s="51"/>
      <c r="E36" s="51"/>
      <c r="F36" s="51"/>
      <c r="G36" s="102"/>
      <c r="H36" s="125"/>
      <c r="I36" s="52"/>
      <c r="J36" s="84"/>
      <c r="K36" s="996"/>
    </row>
    <row r="37" spans="2:11" ht="16.5" customHeight="1" thickBot="1">
      <c r="B37" s="49"/>
      <c r="C37" s="51"/>
      <c r="D37" s="51"/>
      <c r="E37" s="126" t="s">
        <v>93</v>
      </c>
      <c r="F37" s="87" t="s">
        <v>94</v>
      </c>
      <c r="G37" s="88" t="s">
        <v>95</v>
      </c>
      <c r="H37" s="129">
        <v>25</v>
      </c>
      <c r="I37" s="90"/>
      <c r="J37" s="84"/>
      <c r="K37" s="996"/>
    </row>
    <row r="38" spans="2:11" ht="16.5" customHeight="1" thickBot="1">
      <c r="B38" s="49"/>
      <c r="C38" s="1137" t="s">
        <v>2</v>
      </c>
      <c r="D38" s="51"/>
      <c r="E38" s="90"/>
      <c r="F38" s="130"/>
      <c r="G38" s="94" t="s">
        <v>96</v>
      </c>
      <c r="H38" s="131">
        <v>25</v>
      </c>
      <c r="I38" s="90"/>
      <c r="J38" s="84"/>
      <c r="K38" s="996"/>
    </row>
    <row r="39" spans="2:11" ht="16.5" customHeight="1" thickBot="1">
      <c r="B39" s="49"/>
      <c r="C39" s="1137"/>
      <c r="D39" s="51"/>
      <c r="E39" s="90"/>
      <c r="F39" s="130"/>
      <c r="G39" s="94" t="s">
        <v>97</v>
      </c>
      <c r="H39" s="132">
        <v>0.08</v>
      </c>
      <c r="I39" s="90"/>
      <c r="J39" s="84"/>
      <c r="K39" s="996"/>
    </row>
    <row r="40" spans="2:11" ht="16.5" customHeight="1">
      <c r="B40" s="49"/>
      <c r="C40" s="51"/>
      <c r="D40" s="51"/>
      <c r="E40" s="90"/>
      <c r="F40" s="130"/>
      <c r="G40" s="94" t="s">
        <v>98</v>
      </c>
      <c r="H40" s="133">
        <v>0.03</v>
      </c>
      <c r="I40" s="90"/>
      <c r="J40" s="84"/>
      <c r="K40" s="996"/>
    </row>
    <row r="41" spans="2:11" ht="16.5" customHeight="1" thickBot="1">
      <c r="B41" s="49"/>
      <c r="C41" s="51"/>
      <c r="D41" s="51"/>
      <c r="E41" s="134"/>
      <c r="F41" s="123"/>
      <c r="G41" s="100" t="s">
        <v>99</v>
      </c>
      <c r="H41" s="135">
        <v>0.3</v>
      </c>
      <c r="I41" s="90"/>
      <c r="J41" s="84"/>
      <c r="K41" s="997"/>
    </row>
    <row r="42" spans="2:10" ht="6" customHeight="1">
      <c r="B42" s="49"/>
      <c r="C42" s="74"/>
      <c r="D42" s="74"/>
      <c r="E42" s="74"/>
      <c r="F42" s="74"/>
      <c r="G42" s="74"/>
      <c r="H42" s="74"/>
      <c r="I42" s="75"/>
      <c r="J42" s="84"/>
    </row>
    <row r="43" spans="2:9" ht="30.75" customHeight="1">
      <c r="B43" s="136"/>
      <c r="C43" s="1135" t="s">
        <v>100</v>
      </c>
      <c r="D43" s="1135"/>
      <c r="E43" s="1135"/>
      <c r="F43" s="1135"/>
      <c r="G43" s="1135"/>
      <c r="H43" s="1135"/>
      <c r="I43" s="1136"/>
    </row>
    <row r="44" ht="12.75"/>
    <row r="45" ht="12.75"/>
    <row r="46" ht="12.75"/>
    <row r="55" ht="18">
      <c r="J55" s="137"/>
    </row>
    <row r="56" ht="18">
      <c r="J56" s="137"/>
    </row>
    <row r="70" ht="12.75">
      <c r="F70" s="138"/>
    </row>
    <row r="71" spans="6:7" ht="12.75">
      <c r="F71" s="138"/>
      <c r="G71" s="80"/>
    </row>
    <row r="93" ht="21.75" customHeight="1"/>
    <row r="94" ht="14.25" customHeight="1"/>
    <row r="95" ht="14.25" customHeight="1"/>
    <row r="96" ht="12.75" customHeight="1"/>
    <row r="100" ht="24.75" customHeight="1"/>
  </sheetData>
  <sheetProtection password="DEBF" sheet="1"/>
  <mergeCells count="9">
    <mergeCell ref="E3:G3"/>
    <mergeCell ref="C43:I43"/>
    <mergeCell ref="C38:C39"/>
    <mergeCell ref="C9:C10"/>
    <mergeCell ref="C12:C13"/>
    <mergeCell ref="C16:C17"/>
    <mergeCell ref="F28:F29"/>
    <mergeCell ref="C31:C32"/>
    <mergeCell ref="F31:F32"/>
  </mergeCells>
  <conditionalFormatting sqref="G28:H29">
    <cfRule type="expression" priority="13" dxfId="7" stopIfTrue="1">
      <formula>LEN(TRIM(G28))=0</formula>
    </cfRule>
  </conditionalFormatting>
  <conditionalFormatting sqref="H31:H32">
    <cfRule type="expression" priority="14" dxfId="7" stopIfTrue="1">
      <formula>LEN(TRIM(H31))=0</formula>
    </cfRule>
  </conditionalFormatting>
  <conditionalFormatting sqref="H34:H35">
    <cfRule type="expression" priority="15" dxfId="7" stopIfTrue="1">
      <formula>LEN(TRIM(H34))=0</formula>
    </cfRule>
  </conditionalFormatting>
  <conditionalFormatting sqref="H37:H41">
    <cfRule type="expression" priority="16" dxfId="7" stopIfTrue="1">
      <formula>LEN(TRIM(H37))=0</formula>
    </cfRule>
  </conditionalFormatting>
  <conditionalFormatting sqref="H12:H14">
    <cfRule type="expression" priority="3" dxfId="7" stopIfTrue="1">
      <formula>LEN(TRIM(H12))=0</formula>
    </cfRule>
  </conditionalFormatting>
  <conditionalFormatting sqref="H5:H10">
    <cfRule type="expression" priority="4" dxfId="7" stopIfTrue="1">
      <formula>LEN(TRIM(H5))=0</formula>
    </cfRule>
  </conditionalFormatting>
  <conditionalFormatting sqref="H23:H26">
    <cfRule type="expression" priority="1" dxfId="7" stopIfTrue="1">
      <formula>LEN(TRIM(H23))=0</formula>
    </cfRule>
  </conditionalFormatting>
  <conditionalFormatting sqref="H16:H21">
    <cfRule type="expression" priority="2" dxfId="7" stopIfTrue="1">
      <formula>LEN(TRIM(H16))=0</formula>
    </cfRule>
  </conditionalFormatting>
  <hyperlinks>
    <hyperlink ref="C9" location="Equipment!G8" display="   Next  "/>
    <hyperlink ref="C12" location="Welcome!H17" display="   Back   "/>
    <hyperlink ref="C16" location="Menu!E3" display="   Menu   "/>
    <hyperlink ref="C31" location="Calculators!F59" display="   Calculators  "/>
    <hyperlink ref="C38" location="Equipment!G8" display="   Next  "/>
  </hyperlinks>
  <printOptions/>
  <pageMargins left="0.7" right="0.7" top="0.75" bottom="0.75" header="0.5118055555555555" footer="0.5118055555555555"/>
  <pageSetup horizontalDpi="300" verticalDpi="300" orientation="portrait" scale="67" r:id="rId4"/>
  <colBreaks count="1" manualBreakCount="1">
    <brk id="9" max="65535" man="1"/>
  </colBreaks>
  <drawing r:id="rId3"/>
  <legacyDrawing r:id="rId2"/>
</worksheet>
</file>

<file path=xl/worksheets/sheet4.xml><?xml version="1.0" encoding="utf-8"?>
<worksheet xmlns="http://schemas.openxmlformats.org/spreadsheetml/2006/main" xmlns:r="http://schemas.openxmlformats.org/officeDocument/2006/relationships">
  <dimension ref="B2:O63"/>
  <sheetViews>
    <sheetView showGridLines="0" showRowColHeaders="0" zoomScale="80" zoomScaleNormal="80" zoomScaleSheetLayoutView="100" zoomScalePageLayoutView="0" workbookViewId="0" topLeftCell="A1">
      <selection activeCell="G32" sqref="G32:G33"/>
    </sheetView>
  </sheetViews>
  <sheetFormatPr defaultColWidth="9.140625" defaultRowHeight="12.75"/>
  <cols>
    <col min="1" max="1" width="2.00390625" style="41" customWidth="1"/>
    <col min="2" max="2" width="1.421875" style="41" customWidth="1"/>
    <col min="3" max="3" width="21.28125" style="41" customWidth="1"/>
    <col min="4" max="4" width="0" style="41" hidden="1" customWidth="1"/>
    <col min="5" max="5" width="1.8515625" style="41" customWidth="1"/>
    <col min="6" max="9" width="25.57421875" style="41" customWidth="1"/>
    <col min="10" max="11" width="1.1484375" style="41" customWidth="1"/>
    <col min="12" max="12" width="39.140625" style="41" customWidth="1"/>
    <col min="13" max="13" width="27.140625" style="139" hidden="1" customWidth="1"/>
    <col min="14" max="15" width="27.140625" style="140" hidden="1" customWidth="1"/>
    <col min="16" max="16" width="27.140625" style="41" customWidth="1"/>
    <col min="17" max="16384" width="9.140625" style="41" customWidth="1"/>
  </cols>
  <sheetData>
    <row r="1" ht="7.5" customHeight="1" thickBot="1"/>
    <row r="2" spans="2:10" ht="12.75">
      <c r="B2" s="45"/>
      <c r="C2" s="47"/>
      <c r="D2" s="47"/>
      <c r="E2" s="47"/>
      <c r="F2" s="1141" t="s">
        <v>101</v>
      </c>
      <c r="G2" s="1142"/>
      <c r="H2" s="1142"/>
      <c r="I2" s="1147">
        <f>Welcome!H25</f>
        <v>2011</v>
      </c>
      <c r="J2" s="1148"/>
    </row>
    <row r="3" spans="2:10" ht="12.75">
      <c r="B3" s="49"/>
      <c r="C3" s="51"/>
      <c r="D3" s="51"/>
      <c r="E3" s="51"/>
      <c r="F3" s="1143"/>
      <c r="G3" s="1144"/>
      <c r="H3" s="1144"/>
      <c r="I3" s="1144"/>
      <c r="J3" s="1149"/>
    </row>
    <row r="4" spans="2:10" ht="12.75">
      <c r="B4" s="49"/>
      <c r="C4" s="51"/>
      <c r="D4" s="51"/>
      <c r="E4" s="51"/>
      <c r="F4" s="1143"/>
      <c r="G4" s="1144"/>
      <c r="H4" s="1144"/>
      <c r="I4" s="1144"/>
      <c r="J4" s="1149"/>
    </row>
    <row r="5" spans="2:15" ht="13.5" thickBot="1">
      <c r="B5" s="49"/>
      <c r="C5" s="51"/>
      <c r="D5" s="51"/>
      <c r="E5" s="51"/>
      <c r="F5" s="1145"/>
      <c r="G5" s="1146"/>
      <c r="H5" s="1146"/>
      <c r="I5" s="1146"/>
      <c r="J5" s="1150"/>
      <c r="M5" s="141" t="s">
        <v>102</v>
      </c>
      <c r="N5" s="142"/>
      <c r="O5" s="142"/>
    </row>
    <row r="6" spans="2:15" ht="12" customHeight="1" thickBot="1">
      <c r="B6" s="49"/>
      <c r="C6" s="51"/>
      <c r="D6" s="51"/>
      <c r="E6" s="51"/>
      <c r="F6" s="51"/>
      <c r="G6" s="51"/>
      <c r="H6" s="51"/>
      <c r="I6" s="51"/>
      <c r="J6" s="143"/>
      <c r="M6" s="141"/>
      <c r="N6" s="142"/>
      <c r="O6" s="142"/>
    </row>
    <row r="7" spans="2:15" ht="16.5" customHeight="1">
      <c r="B7" s="49"/>
      <c r="C7" s="51"/>
      <c r="D7" s="51"/>
      <c r="E7" s="51"/>
      <c r="F7" s="87" t="s">
        <v>103</v>
      </c>
      <c r="G7" s="144" t="s">
        <v>104</v>
      </c>
      <c r="H7" s="144" t="s">
        <v>105</v>
      </c>
      <c r="I7" s="145" t="s">
        <v>106</v>
      </c>
      <c r="J7" s="52"/>
      <c r="L7" s="1015" t="s">
        <v>684</v>
      </c>
      <c r="M7" s="1011" t="s">
        <v>22</v>
      </c>
      <c r="N7" s="142"/>
      <c r="O7" s="142"/>
    </row>
    <row r="8" spans="2:15" ht="16.5" customHeight="1">
      <c r="B8" s="49"/>
      <c r="C8" s="51"/>
      <c r="D8" s="51"/>
      <c r="E8" s="51"/>
      <c r="F8" s="146"/>
      <c r="G8" s="1111" t="s">
        <v>671</v>
      </c>
      <c r="H8" s="1106"/>
      <c r="I8" s="147"/>
      <c r="J8" s="90"/>
      <c r="L8" s="1016"/>
      <c r="M8" s="1012">
        <f aca="true" t="shared" si="0" ref="M8:M16">H8*I8</f>
        <v>0</v>
      </c>
      <c r="N8" s="148"/>
      <c r="O8" s="148"/>
    </row>
    <row r="9" spans="2:15" ht="16.5" customHeight="1">
      <c r="B9" s="49"/>
      <c r="C9" s="51"/>
      <c r="D9" s="51"/>
      <c r="E9" s="51"/>
      <c r="F9" s="146"/>
      <c r="G9" s="922" t="s">
        <v>672</v>
      </c>
      <c r="H9" s="149"/>
      <c r="I9" s="150"/>
      <c r="J9" s="90"/>
      <c r="L9" s="1016"/>
      <c r="M9" s="1012">
        <f t="shared" si="0"/>
        <v>0</v>
      </c>
      <c r="N9" s="148"/>
      <c r="O9" s="148"/>
    </row>
    <row r="10" spans="2:15" ht="16.5" customHeight="1" thickBot="1">
      <c r="B10" s="49"/>
      <c r="C10" s="51"/>
      <c r="D10" s="51"/>
      <c r="E10" s="51"/>
      <c r="F10" s="146"/>
      <c r="G10" s="922" t="s">
        <v>691</v>
      </c>
      <c r="H10" s="149"/>
      <c r="I10" s="150"/>
      <c r="J10" s="90"/>
      <c r="L10" s="1016"/>
      <c r="M10" s="1012">
        <f t="shared" si="0"/>
        <v>0</v>
      </c>
      <c r="N10" s="148"/>
      <c r="O10" s="148"/>
    </row>
    <row r="11" spans="2:15" ht="16.5" customHeight="1" thickBot="1">
      <c r="B11" s="49"/>
      <c r="C11" s="1137" t="s">
        <v>2</v>
      </c>
      <c r="D11" s="51"/>
      <c r="E11" s="51"/>
      <c r="F11" s="146"/>
      <c r="G11" s="922" t="s">
        <v>733</v>
      </c>
      <c r="H11" s="149"/>
      <c r="I11" s="150"/>
      <c r="J11" s="90"/>
      <c r="L11" s="1016"/>
      <c r="M11" s="1012">
        <f t="shared" si="0"/>
        <v>0</v>
      </c>
      <c r="N11" s="148"/>
      <c r="O11" s="148"/>
    </row>
    <row r="12" spans="2:15" ht="16.5" customHeight="1" thickBot="1">
      <c r="B12" s="49"/>
      <c r="C12" s="1137"/>
      <c r="D12" s="51"/>
      <c r="E12" s="51"/>
      <c r="F12" s="146"/>
      <c r="G12" s="922" t="s">
        <v>693</v>
      </c>
      <c r="H12" s="149"/>
      <c r="I12" s="150"/>
      <c r="J12" s="90"/>
      <c r="L12" s="1016"/>
      <c r="M12" s="1012">
        <f t="shared" si="0"/>
        <v>0</v>
      </c>
      <c r="N12" s="148"/>
      <c r="O12" s="148"/>
    </row>
    <row r="13" spans="2:15" ht="16.5" customHeight="1" thickBot="1">
      <c r="B13" s="49"/>
      <c r="C13" s="51"/>
      <c r="D13" s="51"/>
      <c r="E13" s="51"/>
      <c r="F13" s="146"/>
      <c r="G13" s="922"/>
      <c r="H13" s="149"/>
      <c r="I13" s="150"/>
      <c r="J13" s="90"/>
      <c r="L13" s="1016"/>
      <c r="M13" s="1012">
        <f t="shared" si="0"/>
        <v>0</v>
      </c>
      <c r="N13" s="148"/>
      <c r="O13" s="148"/>
    </row>
    <row r="14" spans="2:15" ht="16.5" customHeight="1" thickBot="1">
      <c r="B14" s="49"/>
      <c r="C14" s="1138" t="s">
        <v>20</v>
      </c>
      <c r="D14" s="51"/>
      <c r="E14" s="51"/>
      <c r="F14" s="146"/>
      <c r="G14" s="922"/>
      <c r="H14" s="149"/>
      <c r="I14" s="150"/>
      <c r="J14" s="90"/>
      <c r="L14" s="1016"/>
      <c r="M14" s="1012">
        <f t="shared" si="0"/>
        <v>0</v>
      </c>
      <c r="N14" s="148"/>
      <c r="O14" s="148"/>
    </row>
    <row r="15" spans="2:15" ht="16.5" customHeight="1" thickBot="1">
      <c r="B15" s="49"/>
      <c r="C15" s="1138"/>
      <c r="D15" s="51"/>
      <c r="E15" s="51"/>
      <c r="F15" s="146"/>
      <c r="G15" s="922"/>
      <c r="H15" s="149"/>
      <c r="I15" s="150"/>
      <c r="J15" s="90"/>
      <c r="L15" s="1016"/>
      <c r="M15" s="1012">
        <f t="shared" si="0"/>
        <v>0</v>
      </c>
      <c r="N15" s="148"/>
      <c r="O15" s="148"/>
    </row>
    <row r="16" spans="2:15" ht="16.5" customHeight="1">
      <c r="B16" s="49"/>
      <c r="C16" s="51"/>
      <c r="D16" s="51"/>
      <c r="E16" s="51"/>
      <c r="F16" s="146"/>
      <c r="G16" s="922"/>
      <c r="H16" s="149"/>
      <c r="I16" s="150"/>
      <c r="J16" s="90"/>
      <c r="L16" s="1016"/>
      <c r="M16" s="1012">
        <f t="shared" si="0"/>
        <v>0</v>
      </c>
      <c r="N16" s="148"/>
      <c r="O16" s="148"/>
    </row>
    <row r="17" spans="2:15" ht="16.5" customHeight="1">
      <c r="B17" s="49"/>
      <c r="C17" s="51"/>
      <c r="D17" s="51"/>
      <c r="E17" s="51"/>
      <c r="F17" s="123"/>
      <c r="G17" s="151"/>
      <c r="H17" s="152" t="s">
        <v>107</v>
      </c>
      <c r="I17" s="937">
        <f>M18</f>
        <v>0</v>
      </c>
      <c r="J17" s="90"/>
      <c r="L17" s="1016"/>
      <c r="M17" s="1012"/>
      <c r="N17" s="148"/>
      <c r="O17" s="148"/>
    </row>
    <row r="18" spans="2:15" ht="5.25" customHeight="1" thickBot="1">
      <c r="B18" s="49"/>
      <c r="C18" s="51"/>
      <c r="D18" s="51"/>
      <c r="E18" s="51"/>
      <c r="F18" s="51"/>
      <c r="G18" s="118"/>
      <c r="H18" s="153"/>
      <c r="I18" s="154"/>
      <c r="J18" s="52"/>
      <c r="L18" s="1016"/>
      <c r="M18" s="1013">
        <f>SUM(M8:M16)</f>
        <v>0</v>
      </c>
      <c r="N18" s="155"/>
      <c r="O18" s="155"/>
    </row>
    <row r="19" spans="2:15" ht="16.5" customHeight="1" thickBot="1">
      <c r="B19" s="49"/>
      <c r="C19" s="1138" t="s">
        <v>71</v>
      </c>
      <c r="D19" s="51"/>
      <c r="E19" s="51"/>
      <c r="F19" s="87" t="s">
        <v>108</v>
      </c>
      <c r="G19" s="144" t="s">
        <v>104</v>
      </c>
      <c r="H19" s="144" t="s">
        <v>105</v>
      </c>
      <c r="I19" s="145" t="s">
        <v>106</v>
      </c>
      <c r="J19" s="52"/>
      <c r="L19" s="1016"/>
      <c r="M19" s="1011" t="s">
        <v>109</v>
      </c>
      <c r="N19" s="141"/>
      <c r="O19" s="141"/>
    </row>
    <row r="20" spans="2:15" ht="16.5" customHeight="1" thickBot="1">
      <c r="B20" s="49"/>
      <c r="C20" s="1138"/>
      <c r="D20" s="51"/>
      <c r="E20" s="51"/>
      <c r="F20" s="146"/>
      <c r="G20" s="1111" t="s">
        <v>634</v>
      </c>
      <c r="H20" s="156"/>
      <c r="I20" s="147"/>
      <c r="J20" s="90"/>
      <c r="L20" s="1016"/>
      <c r="M20" s="1012">
        <f aca="true" t="shared" si="1" ref="M20:M28">H20*I20</f>
        <v>0</v>
      </c>
      <c r="N20" s="148"/>
      <c r="O20" s="148"/>
    </row>
    <row r="21" spans="2:15" ht="16.5" customHeight="1">
      <c r="B21" s="49"/>
      <c r="C21" s="51"/>
      <c r="D21" s="51"/>
      <c r="E21" s="51"/>
      <c r="F21" s="146"/>
      <c r="G21" s="922" t="s">
        <v>636</v>
      </c>
      <c r="H21" s="149"/>
      <c r="I21" s="150"/>
      <c r="J21" s="90"/>
      <c r="L21" s="1016"/>
      <c r="M21" s="1012">
        <f t="shared" si="1"/>
        <v>0</v>
      </c>
      <c r="N21" s="148"/>
      <c r="O21" s="148"/>
    </row>
    <row r="22" spans="2:15" ht="16.5" customHeight="1">
      <c r="B22" s="49"/>
      <c r="C22" s="51"/>
      <c r="D22" s="51"/>
      <c r="E22" s="51"/>
      <c r="F22" s="146"/>
      <c r="G22" s="922" t="s">
        <v>637</v>
      </c>
      <c r="H22" s="149"/>
      <c r="I22" s="150"/>
      <c r="J22" s="90"/>
      <c r="L22" s="1016"/>
      <c r="M22" s="1012">
        <f t="shared" si="1"/>
        <v>0</v>
      </c>
      <c r="N22" s="148"/>
      <c r="O22" s="148"/>
    </row>
    <row r="23" spans="2:15" ht="16.5" customHeight="1">
      <c r="B23" s="49"/>
      <c r="C23" s="51"/>
      <c r="D23" s="51"/>
      <c r="E23" s="51"/>
      <c r="F23" s="146"/>
      <c r="G23" s="922" t="s">
        <v>635</v>
      </c>
      <c r="H23" s="149"/>
      <c r="I23" s="150"/>
      <c r="J23" s="90"/>
      <c r="L23" s="1016"/>
      <c r="M23" s="1012">
        <f t="shared" si="1"/>
        <v>0</v>
      </c>
      <c r="N23" s="148"/>
      <c r="O23" s="148"/>
    </row>
    <row r="24" spans="2:15" ht="16.5" customHeight="1">
      <c r="B24" s="49"/>
      <c r="C24" s="51"/>
      <c r="D24" s="51"/>
      <c r="E24" s="51"/>
      <c r="F24" s="146"/>
      <c r="G24" s="1107" t="s">
        <v>692</v>
      </c>
      <c r="H24" s="149"/>
      <c r="I24" s="150"/>
      <c r="J24" s="90"/>
      <c r="L24" s="1016"/>
      <c r="M24" s="1012">
        <f t="shared" si="1"/>
        <v>0</v>
      </c>
      <c r="N24" s="148"/>
      <c r="O24" s="148"/>
    </row>
    <row r="25" spans="2:15" ht="16.5" customHeight="1">
      <c r="B25" s="49"/>
      <c r="C25" s="51"/>
      <c r="D25" s="51"/>
      <c r="E25" s="51"/>
      <c r="F25" s="146"/>
      <c r="G25" s="1107" t="s">
        <v>693</v>
      </c>
      <c r="H25" s="149"/>
      <c r="I25" s="150"/>
      <c r="J25" s="90"/>
      <c r="L25" s="1016"/>
      <c r="M25" s="1012">
        <f t="shared" si="1"/>
        <v>0</v>
      </c>
      <c r="N25" s="148"/>
      <c r="O25" s="148"/>
    </row>
    <row r="26" spans="2:15" ht="16.5" customHeight="1">
      <c r="B26" s="49"/>
      <c r="C26" s="51"/>
      <c r="D26" s="51"/>
      <c r="E26" s="51"/>
      <c r="F26" s="146"/>
      <c r="G26" s="1107"/>
      <c r="H26" s="149"/>
      <c r="I26" s="150"/>
      <c r="J26" s="90"/>
      <c r="L26" s="1016"/>
      <c r="M26" s="1012">
        <f t="shared" si="1"/>
        <v>0</v>
      </c>
      <c r="N26" s="148"/>
      <c r="O26" s="148"/>
    </row>
    <row r="27" spans="2:15" ht="16.5" customHeight="1">
      <c r="B27" s="49"/>
      <c r="C27" s="51"/>
      <c r="D27" s="51"/>
      <c r="E27" s="51"/>
      <c r="F27" s="146"/>
      <c r="G27" s="1107"/>
      <c r="H27" s="149"/>
      <c r="I27" s="150"/>
      <c r="J27" s="90"/>
      <c r="L27" s="1016"/>
      <c r="M27" s="1012">
        <f t="shared" si="1"/>
        <v>0</v>
      </c>
      <c r="N27" s="148"/>
      <c r="O27" s="148"/>
    </row>
    <row r="28" spans="2:15" ht="16.5" customHeight="1">
      <c r="B28" s="49"/>
      <c r="C28" s="51"/>
      <c r="D28" s="51"/>
      <c r="E28" s="51"/>
      <c r="F28" s="146"/>
      <c r="G28" s="1107"/>
      <c r="H28" s="149"/>
      <c r="I28" s="150"/>
      <c r="J28" s="90"/>
      <c r="L28" s="1016"/>
      <c r="M28" s="1012">
        <f t="shared" si="1"/>
        <v>0</v>
      </c>
      <c r="N28" s="148"/>
      <c r="O28" s="148"/>
    </row>
    <row r="29" spans="2:15" ht="16.5" customHeight="1">
      <c r="B29" s="49"/>
      <c r="C29" s="51"/>
      <c r="D29" s="51"/>
      <c r="E29" s="51"/>
      <c r="F29" s="123"/>
      <c r="G29" s="157"/>
      <c r="H29" s="158" t="s">
        <v>110</v>
      </c>
      <c r="I29" s="159">
        <f>M30</f>
        <v>0</v>
      </c>
      <c r="J29" s="90"/>
      <c r="L29" s="1016"/>
      <c r="M29" s="1012"/>
      <c r="N29" s="148"/>
      <c r="O29" s="148"/>
    </row>
    <row r="30" spans="2:15" ht="5.25" customHeight="1">
      <c r="B30" s="49"/>
      <c r="C30" s="51"/>
      <c r="D30" s="51"/>
      <c r="E30" s="51"/>
      <c r="F30" s="51"/>
      <c r="G30" s="125"/>
      <c r="H30" s="153"/>
      <c r="I30" s="154"/>
      <c r="J30" s="52"/>
      <c r="L30" s="1016"/>
      <c r="M30" s="1013">
        <f>SUM(M20:M28)</f>
        <v>0</v>
      </c>
      <c r="N30" s="155"/>
      <c r="O30" s="155"/>
    </row>
    <row r="31" spans="2:15" ht="16.5" customHeight="1">
      <c r="B31" s="49"/>
      <c r="C31" s="51"/>
      <c r="D31" s="51"/>
      <c r="E31" s="51"/>
      <c r="F31" s="87" t="s">
        <v>111</v>
      </c>
      <c r="G31" s="144" t="s">
        <v>104</v>
      </c>
      <c r="H31" s="144" t="s">
        <v>105</v>
      </c>
      <c r="I31" s="145" t="s">
        <v>106</v>
      </c>
      <c r="J31" s="52"/>
      <c r="L31" s="1016"/>
      <c r="M31" s="1011" t="s">
        <v>112</v>
      </c>
      <c r="N31" s="141"/>
      <c r="O31" s="141"/>
    </row>
    <row r="32" spans="2:15" ht="16.5" customHeight="1">
      <c r="B32" s="49"/>
      <c r="C32" s="51"/>
      <c r="D32" s="51"/>
      <c r="E32" s="51"/>
      <c r="F32" s="160"/>
      <c r="G32" s="1111" t="s">
        <v>734</v>
      </c>
      <c r="H32" s="156"/>
      <c r="I32" s="147"/>
      <c r="J32" s="90"/>
      <c r="L32" s="1016"/>
      <c r="M32" s="1012">
        <f>H32*I32</f>
        <v>0</v>
      </c>
      <c r="N32" s="148"/>
      <c r="O32" s="148"/>
    </row>
    <row r="33" spans="2:15" ht="16.5" customHeight="1">
      <c r="B33" s="49"/>
      <c r="C33" s="51"/>
      <c r="D33" s="51"/>
      <c r="E33" s="51"/>
      <c r="F33" s="160"/>
      <c r="G33" s="1107" t="s">
        <v>641</v>
      </c>
      <c r="H33" s="149"/>
      <c r="I33" s="150"/>
      <c r="J33" s="90"/>
      <c r="L33" s="1016"/>
      <c r="M33" s="1012">
        <f>H33*I33</f>
        <v>0</v>
      </c>
      <c r="N33" s="148"/>
      <c r="O33" s="148"/>
    </row>
    <row r="34" spans="2:15" ht="16.5" customHeight="1">
      <c r="B34" s="49"/>
      <c r="C34" s="51"/>
      <c r="D34" s="51"/>
      <c r="E34" s="51"/>
      <c r="F34" s="146"/>
      <c r="G34" s="1107"/>
      <c r="H34" s="149"/>
      <c r="I34" s="150"/>
      <c r="J34" s="90"/>
      <c r="L34" s="1016"/>
      <c r="M34" s="1012">
        <f>H34*I34</f>
        <v>0</v>
      </c>
      <c r="N34" s="148"/>
      <c r="O34" s="148"/>
    </row>
    <row r="35" spans="2:15" ht="16.5" customHeight="1">
      <c r="B35" s="49"/>
      <c r="C35" s="51"/>
      <c r="D35" s="51"/>
      <c r="E35" s="51"/>
      <c r="F35" s="146"/>
      <c r="G35" s="1107"/>
      <c r="H35" s="149"/>
      <c r="I35" s="150"/>
      <c r="J35" s="90"/>
      <c r="L35" s="1016"/>
      <c r="M35" s="1012">
        <f>H35*I35</f>
        <v>0</v>
      </c>
      <c r="N35" s="148"/>
      <c r="O35" s="148"/>
    </row>
    <row r="36" spans="2:15" ht="16.5" customHeight="1">
      <c r="B36" s="49"/>
      <c r="C36" s="51"/>
      <c r="D36" s="51"/>
      <c r="E36" s="51"/>
      <c r="F36" s="123"/>
      <c r="G36" s="157"/>
      <c r="H36" s="161" t="s">
        <v>113</v>
      </c>
      <c r="I36" s="159">
        <f>M37</f>
        <v>0</v>
      </c>
      <c r="J36" s="90"/>
      <c r="L36" s="1016"/>
      <c r="M36" s="1012"/>
      <c r="N36" s="148"/>
      <c r="O36" s="148"/>
    </row>
    <row r="37" spans="2:15" ht="5.25" customHeight="1" thickBot="1">
      <c r="B37" s="49"/>
      <c r="C37" s="51"/>
      <c r="D37" s="51"/>
      <c r="E37" s="51"/>
      <c r="F37" s="74"/>
      <c r="G37" s="74"/>
      <c r="H37" s="74"/>
      <c r="I37" s="75"/>
      <c r="J37" s="52"/>
      <c r="L37" s="1016"/>
      <c r="M37" s="1013">
        <f>SUM(M32:M35)</f>
        <v>0</v>
      </c>
      <c r="N37" s="155"/>
      <c r="O37" s="155"/>
    </row>
    <row r="38" spans="2:15" ht="16.5" customHeight="1" thickBot="1">
      <c r="B38" s="49"/>
      <c r="C38" s="1140" t="s">
        <v>2</v>
      </c>
      <c r="D38" s="51"/>
      <c r="E38" s="51"/>
      <c r="F38" s="87" t="s">
        <v>114</v>
      </c>
      <c r="G38" s="144" t="s">
        <v>104</v>
      </c>
      <c r="H38" s="144" t="s">
        <v>115</v>
      </c>
      <c r="I38" s="145" t="s">
        <v>106</v>
      </c>
      <c r="J38" s="52"/>
      <c r="L38" s="1016"/>
      <c r="M38" s="1011" t="s">
        <v>116</v>
      </c>
      <c r="N38" s="141" t="s">
        <v>116</v>
      </c>
      <c r="O38" s="141" t="s">
        <v>116</v>
      </c>
    </row>
    <row r="39" spans="2:15" ht="16.5" customHeight="1" thickBot="1">
      <c r="B39" s="49"/>
      <c r="C39" s="1140"/>
      <c r="D39" s="51"/>
      <c r="E39" s="51"/>
      <c r="F39" s="160"/>
      <c r="G39" s="162" t="s">
        <v>117</v>
      </c>
      <c r="H39" s="163"/>
      <c r="I39" s="147"/>
      <c r="J39" s="52"/>
      <c r="L39" s="1016"/>
      <c r="M39" s="1014">
        <f>H39*I39</f>
        <v>0</v>
      </c>
      <c r="N39" s="164">
        <f>M39</f>
        <v>0</v>
      </c>
      <c r="O39" s="148">
        <f>M39-N39</f>
        <v>0</v>
      </c>
    </row>
    <row r="40" spans="2:15" ht="16.5" customHeight="1" thickBot="1">
      <c r="B40" s="49"/>
      <c r="C40" s="51"/>
      <c r="D40" s="51"/>
      <c r="E40" s="51"/>
      <c r="F40" s="113"/>
      <c r="G40" s="165" t="s">
        <v>118</v>
      </c>
      <c r="H40" s="166"/>
      <c r="I40" s="167"/>
      <c r="J40" s="52"/>
      <c r="L40" s="1017"/>
      <c r="M40" s="1014">
        <f>H40*I40</f>
        <v>0</v>
      </c>
      <c r="N40" s="164">
        <f>M40</f>
        <v>0</v>
      </c>
      <c r="O40" s="148">
        <f>M40-N40</f>
        <v>0</v>
      </c>
    </row>
    <row r="41" spans="2:15" ht="6.75" customHeight="1">
      <c r="B41" s="49"/>
      <c r="C41" s="74"/>
      <c r="D41" s="74"/>
      <c r="E41" s="74"/>
      <c r="F41" s="74"/>
      <c r="G41" s="74"/>
      <c r="H41" s="74"/>
      <c r="I41" s="74"/>
      <c r="J41" s="75"/>
      <c r="M41" s="168">
        <f>SUM(M39:M40)</f>
        <v>0</v>
      </c>
      <c r="N41" s="169">
        <f>SUM(N39:N40)</f>
        <v>0</v>
      </c>
      <c r="O41" s="155">
        <f>M41-N41</f>
        <v>0</v>
      </c>
    </row>
    <row r="42" spans="2:10" ht="45" customHeight="1">
      <c r="B42" s="136"/>
      <c r="C42" s="1136" t="s">
        <v>100</v>
      </c>
      <c r="D42" s="1136"/>
      <c r="E42" s="1136"/>
      <c r="F42" s="1136"/>
      <c r="G42" s="1136"/>
      <c r="H42" s="1136"/>
      <c r="I42" s="1136"/>
      <c r="J42" s="1136"/>
    </row>
    <row r="62" ht="12.75">
      <c r="G62" s="138"/>
    </row>
    <row r="63" spans="7:8" ht="12.75">
      <c r="G63" s="138"/>
      <c r="H63" s="80"/>
    </row>
    <row r="87" ht="48.75" customHeight="1"/>
  </sheetData>
  <sheetProtection password="DEBF" sheet="1"/>
  <mergeCells count="7">
    <mergeCell ref="C11:C12"/>
    <mergeCell ref="C14:C15"/>
    <mergeCell ref="C19:C20"/>
    <mergeCell ref="C38:C39"/>
    <mergeCell ref="C42:J42"/>
    <mergeCell ref="F2:H5"/>
    <mergeCell ref="I2:J5"/>
  </mergeCells>
  <conditionalFormatting sqref="H8:I10 I17 G12:I16">
    <cfRule type="expression" priority="11" dxfId="7" stopIfTrue="1">
      <formula>LEN(TRIM(G8))=0</formula>
    </cfRule>
  </conditionalFormatting>
  <conditionalFormatting sqref="H20:I24 G26:I28">
    <cfRule type="expression" priority="12" dxfId="7" stopIfTrue="1">
      <formula>LEN(TRIM(G20))=0</formula>
    </cfRule>
  </conditionalFormatting>
  <conditionalFormatting sqref="H32:I32 G34:I35">
    <cfRule type="expression" priority="13" dxfId="7" stopIfTrue="1">
      <formula>LEN(TRIM(G32))=0</formula>
    </cfRule>
  </conditionalFormatting>
  <conditionalFormatting sqref="H25:I25">
    <cfRule type="expression" priority="6" dxfId="7" stopIfTrue="1">
      <formula>LEN(TRIM(H25))=0</formula>
    </cfRule>
  </conditionalFormatting>
  <conditionalFormatting sqref="H11:I11">
    <cfRule type="expression" priority="7" dxfId="7" stopIfTrue="1">
      <formula>LEN(TRIM(H11))=0</formula>
    </cfRule>
  </conditionalFormatting>
  <conditionalFormatting sqref="H33:I33">
    <cfRule type="expression" priority="5" dxfId="7" stopIfTrue="1">
      <formula>LEN(TRIM(H33))=0</formula>
    </cfRule>
  </conditionalFormatting>
  <conditionalFormatting sqref="H39:I40">
    <cfRule type="expression" priority="4" dxfId="7" stopIfTrue="1">
      <formula>LEN(TRIM(H39))=0</formula>
    </cfRule>
  </conditionalFormatting>
  <conditionalFormatting sqref="G8:G11">
    <cfRule type="expression" priority="3" dxfId="7" stopIfTrue="1">
      <formula>LEN(TRIM(G8))=0</formula>
    </cfRule>
  </conditionalFormatting>
  <conditionalFormatting sqref="G20:G25">
    <cfRule type="expression" priority="2" dxfId="7" stopIfTrue="1">
      <formula>LEN(TRIM(G20))=0</formula>
    </cfRule>
  </conditionalFormatting>
  <conditionalFormatting sqref="G32:G33">
    <cfRule type="expression" priority="1" dxfId="7" stopIfTrue="1">
      <formula>LEN(TRIM(G32))=0</formula>
    </cfRule>
  </conditionalFormatting>
  <hyperlinks>
    <hyperlink ref="C11" location="Income!G9" display="   Next  "/>
    <hyperlink ref="C14" location="FarmData!E3" display="   Back   "/>
    <hyperlink ref="C19" location="Menu!E3" display="   Menu   "/>
    <hyperlink ref="C38" location="Income!G9" display="   Next  "/>
    <hyperlink ref="C38:C39" location="Income!G9" display="   Next  "/>
  </hyperlinks>
  <printOptions/>
  <pageMargins left="0.7" right="0.7" top="0.75" bottom="0.75" header="0.5118055555555555" footer="0.5118055555555555"/>
  <pageSetup horizontalDpi="300" verticalDpi="300" orientation="portrait" scale="65" r:id="rId4"/>
  <colBreaks count="1" manualBreakCount="1">
    <brk id="10" max="65535" man="1"/>
  </colBreaks>
  <drawing r:id="rId3"/>
  <legacyDrawing r:id="rId2"/>
</worksheet>
</file>

<file path=xl/worksheets/sheet5.xml><?xml version="1.0" encoding="utf-8"?>
<worksheet xmlns="http://schemas.openxmlformats.org/spreadsheetml/2006/main" xmlns:r="http://schemas.openxmlformats.org/officeDocument/2006/relationships">
  <dimension ref="B2:P24"/>
  <sheetViews>
    <sheetView showGridLines="0" showRowColHeaders="0" zoomScaleSheetLayoutView="100" zoomScalePageLayoutView="98" workbookViewId="0" topLeftCell="A1">
      <selection activeCell="J9" sqref="J9:J19"/>
    </sheetView>
  </sheetViews>
  <sheetFormatPr defaultColWidth="9.140625" defaultRowHeight="12.75"/>
  <cols>
    <col min="1" max="1" width="1.8515625" style="41" customWidth="1"/>
    <col min="2" max="2" width="1.421875" style="41" customWidth="1"/>
    <col min="3" max="3" width="19.140625" style="41" customWidth="1"/>
    <col min="4" max="4" width="1.1484375" style="41" customWidth="1"/>
    <col min="5" max="5" width="28.00390625" style="41" customWidth="1"/>
    <col min="6" max="6" width="2.57421875" style="41" customWidth="1"/>
    <col min="7" max="8" width="22.7109375" style="41" customWidth="1"/>
    <col min="9" max="9" width="0.71875" style="41" customWidth="1"/>
    <col min="10" max="11" width="22.7109375" style="41" customWidth="1"/>
    <col min="12" max="12" width="1.421875" style="41" customWidth="1"/>
    <col min="13" max="13" width="1.7109375" style="41" customWidth="1"/>
    <col min="14" max="14" width="43.140625" style="41" customWidth="1"/>
    <col min="15" max="16" width="0" style="41" hidden="1" customWidth="1"/>
    <col min="17" max="17" width="9.57421875" style="41" customWidth="1"/>
    <col min="18" max="16384" width="9.140625" style="41" customWidth="1"/>
  </cols>
  <sheetData>
    <row r="1" ht="7.5" customHeight="1"/>
    <row r="2" spans="2:12" ht="6" customHeight="1" thickBot="1">
      <c r="B2" s="45"/>
      <c r="C2" s="47"/>
      <c r="D2" s="47"/>
      <c r="E2" s="47"/>
      <c r="F2" s="47"/>
      <c r="G2" s="47"/>
      <c r="H2" s="47"/>
      <c r="I2" s="47"/>
      <c r="J2" s="47"/>
      <c r="K2" s="47"/>
      <c r="L2" s="48"/>
    </row>
    <row r="3" spans="2:12" ht="12.75">
      <c r="B3" s="49"/>
      <c r="C3" s="51"/>
      <c r="D3" s="51"/>
      <c r="E3" s="1141" t="s">
        <v>119</v>
      </c>
      <c r="F3" s="1142"/>
      <c r="G3" s="1142"/>
      <c r="H3" s="1142"/>
      <c r="I3" s="1142"/>
      <c r="J3" s="1142"/>
      <c r="K3" s="1153">
        <f>Welcome!H25</f>
        <v>2011</v>
      </c>
      <c r="L3" s="52"/>
    </row>
    <row r="4" spans="2:12" ht="9.75" customHeight="1">
      <c r="B4" s="49"/>
      <c r="C4" s="51"/>
      <c r="D4" s="51"/>
      <c r="E4" s="1143"/>
      <c r="F4" s="1144"/>
      <c r="G4" s="1144"/>
      <c r="H4" s="1144"/>
      <c r="I4" s="1144"/>
      <c r="J4" s="1144"/>
      <c r="K4" s="1149"/>
      <c r="L4" s="52"/>
    </row>
    <row r="5" spans="2:12" ht="9.75" customHeight="1">
      <c r="B5" s="49"/>
      <c r="C5" s="51"/>
      <c r="D5" s="51"/>
      <c r="E5" s="1143"/>
      <c r="F5" s="1144"/>
      <c r="G5" s="1144"/>
      <c r="H5" s="1144"/>
      <c r="I5" s="1144"/>
      <c r="J5" s="1144"/>
      <c r="K5" s="1149"/>
      <c r="L5" s="52"/>
    </row>
    <row r="6" spans="2:12" ht="13.5" thickBot="1">
      <c r="B6" s="49"/>
      <c r="C6" s="51"/>
      <c r="D6" s="51"/>
      <c r="E6" s="1145"/>
      <c r="F6" s="1146"/>
      <c r="G6" s="1146"/>
      <c r="H6" s="1146"/>
      <c r="I6" s="1146"/>
      <c r="J6" s="1146"/>
      <c r="K6" s="1150"/>
      <c r="L6" s="52"/>
    </row>
    <row r="7" spans="2:12" ht="8.25" customHeight="1" thickBot="1">
      <c r="B7" s="49"/>
      <c r="C7" s="51"/>
      <c r="D7" s="51"/>
      <c r="E7" s="51"/>
      <c r="F7" s="51"/>
      <c r="G7" s="51"/>
      <c r="H7" s="51"/>
      <c r="I7" s="51"/>
      <c r="J7" s="51"/>
      <c r="K7" s="51"/>
      <c r="L7" s="52"/>
    </row>
    <row r="8" spans="2:16" ht="22.5" customHeight="1">
      <c r="B8" s="49"/>
      <c r="C8" s="51"/>
      <c r="D8" s="51"/>
      <c r="E8" s="171" t="s">
        <v>104</v>
      </c>
      <c r="F8" s="172"/>
      <c r="G8" s="173" t="s">
        <v>120</v>
      </c>
      <c r="H8" s="173" t="s">
        <v>690</v>
      </c>
      <c r="I8" s="173"/>
      <c r="J8" s="173" t="s">
        <v>121</v>
      </c>
      <c r="K8" s="174" t="s">
        <v>122</v>
      </c>
      <c r="L8" s="52"/>
      <c r="N8" s="1001" t="s">
        <v>680</v>
      </c>
      <c r="O8" s="993" t="s">
        <v>123</v>
      </c>
      <c r="P8" s="170" t="s">
        <v>124</v>
      </c>
    </row>
    <row r="9" spans="2:16" ht="22.5" customHeight="1" thickBot="1">
      <c r="B9" s="49"/>
      <c r="C9" s="51"/>
      <c r="D9" s="51"/>
      <c r="E9" s="1151" t="s">
        <v>125</v>
      </c>
      <c r="F9" s="1151"/>
      <c r="G9" s="1108"/>
      <c r="H9" s="1056"/>
      <c r="I9" s="176">
        <f>IF(G9&gt;0,"* Enter Weight *","")</f>
      </c>
      <c r="J9" s="1109"/>
      <c r="K9" s="177">
        <f>IF(G9=0,0,J9/G9)</f>
        <v>0</v>
      </c>
      <c r="L9" s="52"/>
      <c r="N9" s="996"/>
      <c r="O9" s="994">
        <f>H9*G9</f>
        <v>0</v>
      </c>
      <c r="P9" s="179">
        <f>IF(G9=0,0,J9/O9)</f>
        <v>0</v>
      </c>
    </row>
    <row r="10" spans="2:16" ht="22.5" customHeight="1" thickBot="1">
      <c r="B10" s="49"/>
      <c r="C10" s="23" t="s">
        <v>2</v>
      </c>
      <c r="D10" s="51"/>
      <c r="E10" s="175" t="s">
        <v>126</v>
      </c>
      <c r="F10" s="180"/>
      <c r="G10" s="1108"/>
      <c r="H10" s="1056"/>
      <c r="I10" s="176">
        <f>IF(G10&gt;0,"* Enter Weight *","")</f>
      </c>
      <c r="J10" s="1109"/>
      <c r="K10" s="177">
        <f>IF(G10=0,0,J10/G10)</f>
        <v>0</v>
      </c>
      <c r="L10" s="52"/>
      <c r="N10" s="996"/>
      <c r="O10" s="994">
        <f>H10*G10</f>
        <v>0</v>
      </c>
      <c r="P10" s="179">
        <f>IF(G10=0,0,J10/O10)</f>
        <v>0</v>
      </c>
    </row>
    <row r="11" spans="2:16" ht="22.5" customHeight="1" thickBot="1">
      <c r="B11" s="49"/>
      <c r="C11" s="51"/>
      <c r="D11" s="51"/>
      <c r="E11" s="175" t="s">
        <v>127</v>
      </c>
      <c r="F11" s="180"/>
      <c r="G11" s="1108"/>
      <c r="H11" s="1056"/>
      <c r="I11" s="176">
        <f>IF(G11&gt;0,"* Enter Weight *","")</f>
      </c>
      <c r="J11" s="1109"/>
      <c r="K11" s="177">
        <f aca="true" t="shared" si="0" ref="K11:K17">IF(G11=0,0,(J11/G11))</f>
        <v>0</v>
      </c>
      <c r="L11" s="52"/>
      <c r="N11" s="996"/>
      <c r="O11" s="994">
        <f>H11*G11</f>
        <v>0</v>
      </c>
      <c r="P11" s="179">
        <f>IF(G11=0,0,J11/O11)</f>
        <v>0</v>
      </c>
    </row>
    <row r="12" spans="2:16" ht="22.5" customHeight="1" thickBot="1">
      <c r="B12" s="49"/>
      <c r="C12" s="56" t="s">
        <v>20</v>
      </c>
      <c r="D12" s="51"/>
      <c r="E12" s="175" t="s">
        <v>128</v>
      </c>
      <c r="F12" s="180"/>
      <c r="G12" s="1108"/>
      <c r="H12" s="1056"/>
      <c r="I12" s="176">
        <f>IF(G12&gt;0,"* Enter Weight *","")</f>
      </c>
      <c r="J12" s="1109"/>
      <c r="K12" s="177">
        <f t="shared" si="0"/>
        <v>0</v>
      </c>
      <c r="L12" s="52"/>
      <c r="N12" s="996"/>
      <c r="O12" s="994">
        <f>H12*G12</f>
        <v>0</v>
      </c>
      <c r="P12" s="179">
        <f>IF(G12=0,0,J12/O12)</f>
        <v>0</v>
      </c>
    </row>
    <row r="13" spans="2:16" ht="22.5" customHeight="1">
      <c r="B13" s="49"/>
      <c r="C13" s="51"/>
      <c r="D13" s="51"/>
      <c r="E13" s="1151" t="s">
        <v>129</v>
      </c>
      <c r="F13" s="1151"/>
      <c r="G13" s="1056"/>
      <c r="H13" s="1056"/>
      <c r="I13" s="176">
        <f>IF(G13&gt;0,"* Enter Weight *","")</f>
      </c>
      <c r="J13" s="1110"/>
      <c r="K13" s="177">
        <f t="shared" si="0"/>
        <v>0</v>
      </c>
      <c r="L13" s="52"/>
      <c r="N13" s="996"/>
      <c r="O13" s="994">
        <f>H13*G13</f>
        <v>0</v>
      </c>
      <c r="P13" s="179">
        <f>IF(G13=0,0,J13/O13)</f>
        <v>0</v>
      </c>
    </row>
    <row r="14" spans="2:16" ht="22.5" customHeight="1" thickBot="1">
      <c r="B14" s="49"/>
      <c r="C14" s="51"/>
      <c r="D14" s="51"/>
      <c r="E14" s="175" t="s">
        <v>130</v>
      </c>
      <c r="F14" s="180"/>
      <c r="G14" s="1108"/>
      <c r="H14" s="923" t="s">
        <v>84</v>
      </c>
      <c r="I14" s="181"/>
      <c r="J14" s="1109"/>
      <c r="K14" s="177">
        <f t="shared" si="0"/>
        <v>0</v>
      </c>
      <c r="L14" s="52"/>
      <c r="N14" s="996"/>
      <c r="O14" s="994">
        <f>SUM(O9:O13)</f>
        <v>0</v>
      </c>
      <c r="P14" s="179" t="e">
        <f>SUM(J9:J13)/O14</f>
        <v>#DIV/0!</v>
      </c>
    </row>
    <row r="15" spans="2:14" ht="22.5" customHeight="1" thickBot="1">
      <c r="B15" s="49"/>
      <c r="C15" s="56" t="s">
        <v>71</v>
      </c>
      <c r="D15" s="51"/>
      <c r="E15" s="175" t="s">
        <v>131</v>
      </c>
      <c r="F15" s="180"/>
      <c r="G15" s="1108"/>
      <c r="H15" s="924" t="s">
        <v>84</v>
      </c>
      <c r="I15" s="181"/>
      <c r="J15" s="1109"/>
      <c r="K15" s="177">
        <f t="shared" si="0"/>
        <v>0</v>
      </c>
      <c r="L15" s="52"/>
      <c r="N15" s="996"/>
    </row>
    <row r="16" spans="2:14" ht="22.5" customHeight="1">
      <c r="B16" s="49"/>
      <c r="C16" s="51"/>
      <c r="D16" s="51"/>
      <c r="E16" s="175" t="s">
        <v>132</v>
      </c>
      <c r="F16" s="180"/>
      <c r="G16" s="1108"/>
      <c r="H16" s="924" t="s">
        <v>84</v>
      </c>
      <c r="I16" s="181"/>
      <c r="J16" s="1109"/>
      <c r="K16" s="177">
        <f t="shared" si="0"/>
        <v>0</v>
      </c>
      <c r="L16" s="52"/>
      <c r="N16" s="996"/>
    </row>
    <row r="17" spans="2:14" ht="22.5" customHeight="1">
      <c r="B17" s="49"/>
      <c r="C17" s="51"/>
      <c r="D17" s="51"/>
      <c r="E17" s="175" t="s">
        <v>133</v>
      </c>
      <c r="F17" s="180"/>
      <c r="G17" s="1108"/>
      <c r="H17" s="924" t="s">
        <v>84</v>
      </c>
      <c r="I17" s="181"/>
      <c r="J17" s="1109"/>
      <c r="K17" s="177">
        <f t="shared" si="0"/>
        <v>0</v>
      </c>
      <c r="L17" s="52"/>
      <c r="N17" s="996"/>
    </row>
    <row r="18" spans="2:14" ht="22.5" customHeight="1">
      <c r="B18" s="49"/>
      <c r="C18" s="51"/>
      <c r="D18" s="51"/>
      <c r="E18" s="1151" t="s">
        <v>134</v>
      </c>
      <c r="F18" s="1151"/>
      <c r="G18" s="1151"/>
      <c r="H18" s="1151"/>
      <c r="I18" s="1151"/>
      <c r="J18" s="1109"/>
      <c r="K18" s="182" t="s">
        <v>84</v>
      </c>
      <c r="L18" s="52"/>
      <c r="N18" s="996"/>
    </row>
    <row r="19" spans="2:14" ht="22.5" customHeight="1">
      <c r="B19" s="49"/>
      <c r="C19" s="51"/>
      <c r="D19" s="51"/>
      <c r="E19" s="175" t="s">
        <v>135</v>
      </c>
      <c r="F19" s="180"/>
      <c r="G19" s="183"/>
      <c r="H19" s="184"/>
      <c r="I19" s="184"/>
      <c r="J19" s="1109"/>
      <c r="K19" s="182" t="s">
        <v>84</v>
      </c>
      <c r="L19" s="52"/>
      <c r="N19" s="996"/>
    </row>
    <row r="20" spans="2:14" ht="22.5" customHeight="1" thickBot="1">
      <c r="B20" s="49"/>
      <c r="C20" s="51"/>
      <c r="D20" s="51"/>
      <c r="E20" s="185" t="s">
        <v>136</v>
      </c>
      <c r="F20" s="186"/>
      <c r="G20" s="157"/>
      <c r="H20" s="187"/>
      <c r="I20" s="187"/>
      <c r="J20" s="188">
        <f>SUM(J9:J19)</f>
        <v>0</v>
      </c>
      <c r="K20" s="189"/>
      <c r="L20" s="52"/>
      <c r="N20" s="997"/>
    </row>
    <row r="21" spans="2:12" ht="7.5" customHeight="1">
      <c r="B21" s="49"/>
      <c r="C21" s="51"/>
      <c r="D21" s="51"/>
      <c r="E21" s="190"/>
      <c r="F21" s="190"/>
      <c r="G21" s="47"/>
      <c r="H21" s="191"/>
      <c r="I21" s="191"/>
      <c r="J21" s="192"/>
      <c r="K21" s="190"/>
      <c r="L21" s="52"/>
    </row>
    <row r="22" spans="2:12" ht="8.25" customHeight="1">
      <c r="B22" s="49"/>
      <c r="C22" s="74"/>
      <c r="D22" s="74"/>
      <c r="E22" s="193"/>
      <c r="F22" s="193"/>
      <c r="G22" s="74"/>
      <c r="H22" s="194"/>
      <c r="I22" s="194"/>
      <c r="J22" s="195"/>
      <c r="K22" s="193"/>
      <c r="L22" s="52"/>
    </row>
    <row r="23" spans="2:12" ht="30.75" customHeight="1">
      <c r="B23" s="49"/>
      <c r="C23" s="1152" t="s">
        <v>137</v>
      </c>
      <c r="D23" s="1152"/>
      <c r="E23" s="1152"/>
      <c r="F23" s="1152"/>
      <c r="G23" s="1152"/>
      <c r="H23" s="1152"/>
      <c r="I23" s="1152"/>
      <c r="J23" s="1152"/>
      <c r="K23" s="1152"/>
      <c r="L23" s="52"/>
    </row>
    <row r="24" spans="2:12" ht="7.5" customHeight="1">
      <c r="B24" s="72"/>
      <c r="C24" s="74"/>
      <c r="D24" s="74"/>
      <c r="E24" s="74"/>
      <c r="F24" s="74"/>
      <c r="G24" s="74"/>
      <c r="H24" s="74"/>
      <c r="I24" s="74"/>
      <c r="J24" s="74"/>
      <c r="K24" s="74"/>
      <c r="L24" s="75"/>
    </row>
  </sheetData>
  <sheetProtection password="DEBF" sheet="1"/>
  <mergeCells count="6">
    <mergeCell ref="E9:F9"/>
    <mergeCell ref="E13:F13"/>
    <mergeCell ref="E18:I18"/>
    <mergeCell ref="C23:K23"/>
    <mergeCell ref="E3:J6"/>
    <mergeCell ref="K3:K6"/>
  </mergeCells>
  <conditionalFormatting sqref="H14:H17">
    <cfRule type="expression" priority="9" dxfId="7" stopIfTrue="1">
      <formula>LEN(TRIM(H14))=0</formula>
    </cfRule>
  </conditionalFormatting>
  <conditionalFormatting sqref="I9:I17">
    <cfRule type="expression" priority="11" dxfId="7" stopIfTrue="1">
      <formula>LEN(TRIM(H9))=0</formula>
    </cfRule>
  </conditionalFormatting>
  <conditionalFormatting sqref="G9:G17">
    <cfRule type="expression" priority="4" dxfId="7" stopIfTrue="1">
      <formula>LEN(TRIM(G9))=0</formula>
    </cfRule>
  </conditionalFormatting>
  <conditionalFormatting sqref="J17:J19">
    <cfRule type="expression" priority="2" dxfId="7" stopIfTrue="1">
      <formula>LEN(TRIM(J17))=0</formula>
    </cfRule>
  </conditionalFormatting>
  <conditionalFormatting sqref="H9:H13">
    <cfRule type="expression" priority="3" dxfId="7" stopIfTrue="1">
      <formula>LEN(TRIM(H9))=0</formula>
    </cfRule>
  </conditionalFormatting>
  <conditionalFormatting sqref="J9:J16">
    <cfRule type="expression" priority="1" dxfId="7" stopIfTrue="1">
      <formula>LEN(TRIM(J9))=0</formula>
    </cfRule>
  </conditionalFormatting>
  <hyperlinks>
    <hyperlink ref="C10" location="Expenses!G9" display="   Next  "/>
    <hyperlink ref="C12" location="Equipment!F2" display="   Back   "/>
    <hyperlink ref="C15" location="Menu!E3" display="   Menu   "/>
  </hyperlinks>
  <printOptions/>
  <pageMargins left="0.7" right="0.7" top="0.75" bottom="0.75" header="0.5118055555555555" footer="0.5118055555555555"/>
  <pageSetup horizontalDpi="300" verticalDpi="300" orientation="portrait" scale="60" r:id="rId4"/>
  <colBreaks count="1" manualBreakCount="1">
    <brk id="12"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Q64"/>
  <sheetViews>
    <sheetView showGridLines="0" showRowColHeaders="0" zoomScaleSheetLayoutView="100" workbookViewId="0" topLeftCell="A26">
      <selection activeCell="I45" sqref="I45"/>
    </sheetView>
  </sheetViews>
  <sheetFormatPr defaultColWidth="9.140625" defaultRowHeight="12.75"/>
  <cols>
    <col min="1" max="1" width="1.7109375" style="41" customWidth="1"/>
    <col min="2" max="2" width="1.28515625" style="41" customWidth="1"/>
    <col min="3" max="3" width="20.28125" style="41" customWidth="1"/>
    <col min="4" max="4" width="0.9921875" style="41" customWidth="1"/>
    <col min="5" max="5" width="20.7109375" style="41" customWidth="1"/>
    <col min="6" max="6" width="22.28125" style="41" customWidth="1"/>
    <col min="7" max="7" width="24.8515625" style="41" customWidth="1"/>
    <col min="8" max="8" width="19.28125" style="41" customWidth="1"/>
    <col min="9" max="9" width="18.28125" style="41" customWidth="1"/>
    <col min="10" max="10" width="21.00390625" style="41" customWidth="1"/>
    <col min="11" max="12" width="1.1484375" style="41" customWidth="1"/>
    <col min="13" max="13" width="48.140625" style="41" customWidth="1"/>
    <col min="14" max="16384" width="9.140625" style="41" customWidth="1"/>
  </cols>
  <sheetData>
    <row r="1" ht="9" customHeight="1"/>
    <row r="2" spans="2:11" ht="7.5" customHeight="1" thickBot="1">
      <c r="B2" s="45"/>
      <c r="C2" s="47"/>
      <c r="D2" s="47"/>
      <c r="E2" s="47"/>
      <c r="F2" s="47"/>
      <c r="G2" s="47"/>
      <c r="H2" s="47"/>
      <c r="I2" s="47"/>
      <c r="J2" s="47"/>
      <c r="K2" s="48"/>
    </row>
    <row r="3" spans="2:11" ht="12.75" customHeight="1">
      <c r="B3" s="49"/>
      <c r="C3" s="51"/>
      <c r="D3" s="51"/>
      <c r="E3" s="1141" t="s">
        <v>138</v>
      </c>
      <c r="F3" s="1142"/>
      <c r="G3" s="1142"/>
      <c r="H3" s="1142"/>
      <c r="I3" s="1142"/>
      <c r="J3" s="1153">
        <f>Welcome!H25</f>
        <v>2011</v>
      </c>
      <c r="K3" s="196"/>
    </row>
    <row r="4" spans="2:11" ht="12.75">
      <c r="B4" s="49"/>
      <c r="C4" s="51"/>
      <c r="D4" s="51"/>
      <c r="E4" s="1143"/>
      <c r="F4" s="1144"/>
      <c r="G4" s="1144"/>
      <c r="H4" s="1144"/>
      <c r="I4" s="1144"/>
      <c r="J4" s="1149"/>
      <c r="K4" s="196"/>
    </row>
    <row r="5" spans="2:11" ht="9.75" customHeight="1">
      <c r="B5" s="49"/>
      <c r="C5" s="51"/>
      <c r="D5" s="51"/>
      <c r="E5" s="1143"/>
      <c r="F5" s="1144"/>
      <c r="G5" s="1144"/>
      <c r="H5" s="1144"/>
      <c r="I5" s="1144"/>
      <c r="J5" s="1149"/>
      <c r="K5" s="196"/>
    </row>
    <row r="6" spans="2:11" ht="7.5" customHeight="1" thickBot="1">
      <c r="B6" s="49"/>
      <c r="C6" s="51"/>
      <c r="D6" s="51"/>
      <c r="E6" s="1145"/>
      <c r="F6" s="1146"/>
      <c r="G6" s="1146"/>
      <c r="H6" s="1146"/>
      <c r="I6" s="1146"/>
      <c r="J6" s="1150"/>
      <c r="K6" s="196"/>
    </row>
    <row r="7" spans="2:11" ht="6.75" customHeight="1" thickBot="1">
      <c r="B7" s="49"/>
      <c r="C7" s="51"/>
      <c r="D7" s="51"/>
      <c r="E7" s="51"/>
      <c r="F7" s="51"/>
      <c r="G7" s="51"/>
      <c r="H7" s="51"/>
      <c r="I7" s="51"/>
      <c r="J7" s="51"/>
      <c r="K7" s="52"/>
    </row>
    <row r="8" spans="2:13" s="197" customFormat="1" ht="16.5" customHeight="1">
      <c r="B8" s="198"/>
      <c r="C8" s="199"/>
      <c r="D8" s="199"/>
      <c r="E8" s="200" t="s">
        <v>139</v>
      </c>
      <c r="F8" s="171" t="s">
        <v>140</v>
      </c>
      <c r="G8" s="201" t="s">
        <v>141</v>
      </c>
      <c r="H8" s="201" t="s">
        <v>105</v>
      </c>
      <c r="I8" s="201" t="s">
        <v>142</v>
      </c>
      <c r="J8" s="202" t="s">
        <v>143</v>
      </c>
      <c r="K8" s="203"/>
      <c r="M8" s="1009" t="s">
        <v>684</v>
      </c>
    </row>
    <row r="9" spans="2:13" ht="16.5" customHeight="1" thickBot="1">
      <c r="B9" s="49"/>
      <c r="C9" s="51"/>
      <c r="D9" s="51"/>
      <c r="E9" s="49"/>
      <c r="F9" s="204"/>
      <c r="G9" s="1107" t="s">
        <v>681</v>
      </c>
      <c r="H9" s="205"/>
      <c r="I9" s="206"/>
      <c r="J9" s="207">
        <f aca="true" t="shared" si="0" ref="J9:J14">H9*I9</f>
        <v>0</v>
      </c>
      <c r="K9" s="52"/>
      <c r="M9" s="996"/>
    </row>
    <row r="10" spans="2:13" ht="16.5" customHeight="1" thickBot="1">
      <c r="B10" s="49"/>
      <c r="C10" s="1154" t="s">
        <v>144</v>
      </c>
      <c r="D10" s="51"/>
      <c r="E10" s="49"/>
      <c r="F10" s="204"/>
      <c r="G10" s="922" t="s">
        <v>682</v>
      </c>
      <c r="H10" s="205"/>
      <c r="I10" s="206"/>
      <c r="J10" s="207">
        <f t="shared" si="0"/>
        <v>0</v>
      </c>
      <c r="K10" s="52"/>
      <c r="M10" s="996"/>
    </row>
    <row r="11" spans="2:17" ht="16.5" customHeight="1" thickBot="1">
      <c r="B11" s="49"/>
      <c r="C11" s="1154"/>
      <c r="D11" s="51"/>
      <c r="E11" s="49"/>
      <c r="F11" s="204"/>
      <c r="G11" s="922" t="s">
        <v>683</v>
      </c>
      <c r="H11" s="205"/>
      <c r="I11" s="206"/>
      <c r="J11" s="207">
        <f t="shared" si="0"/>
        <v>0</v>
      </c>
      <c r="K11" s="52"/>
      <c r="M11" s="996"/>
      <c r="N11" s="43"/>
      <c r="O11" s="43"/>
      <c r="P11" s="43"/>
      <c r="Q11" s="43"/>
    </row>
    <row r="12" spans="2:17" ht="16.5" customHeight="1">
      <c r="B12" s="49"/>
      <c r="C12" s="995"/>
      <c r="D12" s="51"/>
      <c r="E12" s="49"/>
      <c r="F12" s="204"/>
      <c r="G12" s="922" t="s">
        <v>673</v>
      </c>
      <c r="H12" s="205"/>
      <c r="I12" s="206"/>
      <c r="J12" s="207">
        <f t="shared" si="0"/>
        <v>0</v>
      </c>
      <c r="K12" s="52"/>
      <c r="M12" s="996"/>
      <c r="N12" s="43"/>
      <c r="O12" s="43"/>
      <c r="P12" s="43"/>
      <c r="Q12" s="43"/>
    </row>
    <row r="13" spans="2:13" ht="16.5" customHeight="1" thickBot="1">
      <c r="B13" s="49"/>
      <c r="C13" s="51"/>
      <c r="D13" s="51"/>
      <c r="E13" s="49"/>
      <c r="F13" s="204"/>
      <c r="G13" s="922" t="s">
        <v>326</v>
      </c>
      <c r="H13" s="205"/>
      <c r="I13" s="206"/>
      <c r="J13" s="207">
        <f t="shared" si="0"/>
        <v>0</v>
      </c>
      <c r="K13" s="52"/>
      <c r="M13" s="996"/>
    </row>
    <row r="14" spans="2:13" ht="16.5" customHeight="1" thickBot="1">
      <c r="B14" s="49"/>
      <c r="C14" s="1155" t="s">
        <v>145</v>
      </c>
      <c r="D14" s="51"/>
      <c r="E14" s="49"/>
      <c r="F14" s="204"/>
      <c r="G14" s="922" t="s">
        <v>166</v>
      </c>
      <c r="H14" s="205"/>
      <c r="I14" s="206"/>
      <c r="J14" s="207">
        <f t="shared" si="0"/>
        <v>0</v>
      </c>
      <c r="K14" s="52"/>
      <c r="M14" s="996"/>
    </row>
    <row r="15" spans="2:13" ht="16.5" customHeight="1" thickBot="1">
      <c r="B15" s="49"/>
      <c r="C15" s="1155"/>
      <c r="D15" s="51"/>
      <c r="E15" s="49"/>
      <c r="F15" s="204"/>
      <c r="G15" s="209" t="s">
        <v>146</v>
      </c>
      <c r="H15" s="210"/>
      <c r="I15" s="210"/>
      <c r="J15" s="211">
        <f>Equipment!M39*FarmData!H37</f>
        <v>0</v>
      </c>
      <c r="K15" s="52"/>
      <c r="M15" s="996"/>
    </row>
    <row r="16" spans="2:13" ht="16.5" customHeight="1">
      <c r="B16" s="49"/>
      <c r="C16" s="51"/>
      <c r="D16" s="51"/>
      <c r="E16" s="49"/>
      <c r="F16" s="212"/>
      <c r="G16" s="213" t="s">
        <v>147</v>
      </c>
      <c r="H16" s="214"/>
      <c r="I16" s="215"/>
      <c r="J16" s="216">
        <f>SUM(J9:J15)</f>
        <v>0</v>
      </c>
      <c r="K16" s="52"/>
      <c r="M16" s="996"/>
    </row>
    <row r="17" spans="2:13" ht="16.5" customHeight="1" thickBot="1">
      <c r="B17" s="49"/>
      <c r="C17" s="51"/>
      <c r="D17" s="51"/>
      <c r="E17" s="49"/>
      <c r="F17" s="217"/>
      <c r="G17" s="218"/>
      <c r="H17" s="219"/>
      <c r="I17" s="220"/>
      <c r="J17" s="220"/>
      <c r="K17" s="52"/>
      <c r="M17" s="996"/>
    </row>
    <row r="18" spans="2:13" s="197" customFormat="1" ht="16.5" customHeight="1" thickBot="1">
      <c r="B18" s="198"/>
      <c r="C18" s="1138" t="s">
        <v>71</v>
      </c>
      <c r="D18" s="199"/>
      <c r="E18" s="198"/>
      <c r="F18" s="171" t="s">
        <v>148</v>
      </c>
      <c r="G18" s="201" t="s">
        <v>141</v>
      </c>
      <c r="H18" s="201" t="s">
        <v>149</v>
      </c>
      <c r="I18" s="201" t="s">
        <v>142</v>
      </c>
      <c r="J18" s="202" t="s">
        <v>143</v>
      </c>
      <c r="K18" s="203"/>
      <c r="M18" s="1010"/>
    </row>
    <row r="19" spans="2:13" ht="16.5" customHeight="1" thickBot="1">
      <c r="B19" s="49"/>
      <c r="C19" s="1138"/>
      <c r="D19" s="51"/>
      <c r="E19" s="49"/>
      <c r="F19" s="221"/>
      <c r="G19" s="222" t="s">
        <v>150</v>
      </c>
      <c r="H19" s="1057"/>
      <c r="I19" s="1058"/>
      <c r="J19" s="223">
        <f>I19*H19</f>
        <v>0</v>
      </c>
      <c r="K19" s="52"/>
      <c r="M19" s="996"/>
    </row>
    <row r="20" spans="2:13" ht="16.5" customHeight="1">
      <c r="B20" s="49"/>
      <c r="C20" s="51"/>
      <c r="D20" s="51"/>
      <c r="E20" s="49"/>
      <c r="F20" s="221"/>
      <c r="G20" s="224" t="s">
        <v>151</v>
      </c>
      <c r="H20" s="205"/>
      <c r="I20" s="206"/>
      <c r="J20" s="225">
        <f>I20*H20</f>
        <v>0</v>
      </c>
      <c r="K20" s="52"/>
      <c r="M20" s="996"/>
    </row>
    <row r="21" spans="2:13" ht="16.5" customHeight="1">
      <c r="B21" s="49"/>
      <c r="C21" s="51"/>
      <c r="D21" s="51"/>
      <c r="E21" s="49"/>
      <c r="F21" s="226"/>
      <c r="G21" s="227" t="s">
        <v>152</v>
      </c>
      <c r="H21" s="228"/>
      <c r="I21" s="229"/>
      <c r="J21" s="230">
        <f>SUM(J19:J20)</f>
        <v>0</v>
      </c>
      <c r="K21" s="52"/>
      <c r="M21" s="996"/>
    </row>
    <row r="22" spans="2:13" ht="16.5" customHeight="1">
      <c r="B22" s="49"/>
      <c r="C22" s="51"/>
      <c r="D22" s="51"/>
      <c r="E22" s="49"/>
      <c r="F22" s="217"/>
      <c r="G22" s="218"/>
      <c r="H22" s="219"/>
      <c r="I22" s="220"/>
      <c r="J22" s="220"/>
      <c r="K22" s="52"/>
      <c r="M22" s="996"/>
    </row>
    <row r="23" spans="2:13" ht="16.5" customHeight="1">
      <c r="B23" s="49"/>
      <c r="C23" s="51"/>
      <c r="D23" s="51"/>
      <c r="E23" s="49"/>
      <c r="F23" s="231" t="s">
        <v>153</v>
      </c>
      <c r="G23" s="201" t="s">
        <v>141</v>
      </c>
      <c r="H23" s="201" t="s">
        <v>149</v>
      </c>
      <c r="I23" s="201" t="s">
        <v>142</v>
      </c>
      <c r="J23" s="202" t="s">
        <v>143</v>
      </c>
      <c r="K23" s="52"/>
      <c r="M23" s="996"/>
    </row>
    <row r="24" spans="2:13" ht="16.5" customHeight="1">
      <c r="B24" s="49"/>
      <c r="C24" s="51"/>
      <c r="D24" s="51"/>
      <c r="E24" s="49"/>
      <c r="F24" s="221"/>
      <c r="G24" s="222" t="s">
        <v>154</v>
      </c>
      <c r="H24" s="1057"/>
      <c r="I24" s="1058"/>
      <c r="J24" s="223">
        <f>I24*H24</f>
        <v>0</v>
      </c>
      <c r="K24" s="52"/>
      <c r="M24" s="996"/>
    </row>
    <row r="25" spans="2:13" ht="16.5" customHeight="1">
      <c r="B25" s="49"/>
      <c r="C25" s="51"/>
      <c r="D25" s="51"/>
      <c r="E25" s="49"/>
      <c r="F25" s="221"/>
      <c r="G25" s="222" t="s">
        <v>685</v>
      </c>
      <c r="H25" s="205"/>
      <c r="I25" s="206"/>
      <c r="J25" s="225">
        <f>I25*H25</f>
        <v>0</v>
      </c>
      <c r="K25" s="52"/>
      <c r="M25" s="996"/>
    </row>
    <row r="26" spans="2:13" ht="16.5" customHeight="1">
      <c r="B26" s="49"/>
      <c r="C26" s="51"/>
      <c r="D26" s="51"/>
      <c r="E26" s="49"/>
      <c r="F26" s="221"/>
      <c r="G26" s="222" t="s">
        <v>155</v>
      </c>
      <c r="H26" s="205"/>
      <c r="I26" s="206"/>
      <c r="J26" s="225">
        <f>I26*H26</f>
        <v>0</v>
      </c>
      <c r="K26" s="52"/>
      <c r="M26" s="996"/>
    </row>
    <row r="27" spans="2:13" ht="16.5" customHeight="1">
      <c r="B27" s="49"/>
      <c r="C27" s="51"/>
      <c r="D27" s="51"/>
      <c r="E27" s="49"/>
      <c r="F27" s="221"/>
      <c r="G27" s="224" t="s">
        <v>156</v>
      </c>
      <c r="H27" s="205"/>
      <c r="I27" s="206"/>
      <c r="J27" s="225">
        <f>I27*H27</f>
        <v>0</v>
      </c>
      <c r="K27" s="52"/>
      <c r="M27" s="996"/>
    </row>
    <row r="28" spans="2:13" ht="16.5" customHeight="1">
      <c r="B28" s="49"/>
      <c r="C28" s="51"/>
      <c r="D28" s="51"/>
      <c r="E28" s="49"/>
      <c r="F28" s="221"/>
      <c r="G28" s="127" t="s">
        <v>157</v>
      </c>
      <c r="H28" s="205"/>
      <c r="I28" s="206"/>
      <c r="J28" s="225">
        <f>I28*H28</f>
        <v>0</v>
      </c>
      <c r="K28" s="52"/>
      <c r="M28" s="996"/>
    </row>
    <row r="29" spans="2:13" ht="16.5" customHeight="1">
      <c r="B29" s="49"/>
      <c r="C29" s="51"/>
      <c r="D29" s="51"/>
      <c r="E29" s="49"/>
      <c r="F29" s="226"/>
      <c r="G29" s="227" t="s">
        <v>152</v>
      </c>
      <c r="H29" s="228"/>
      <c r="I29" s="229"/>
      <c r="J29" s="230">
        <f>SUM(J24:J28)</f>
        <v>0</v>
      </c>
      <c r="K29" s="52"/>
      <c r="M29" s="996"/>
    </row>
    <row r="30" spans="2:13" ht="16.5" customHeight="1">
      <c r="B30" s="49"/>
      <c r="C30" s="51"/>
      <c r="D30" s="51"/>
      <c r="E30" s="49"/>
      <c r="F30" s="217"/>
      <c r="G30" s="218"/>
      <c r="H30" s="219"/>
      <c r="I30" s="220"/>
      <c r="J30" s="220"/>
      <c r="K30" s="52"/>
      <c r="M30" s="996"/>
    </row>
    <row r="31" spans="2:13" ht="16.5" customHeight="1">
      <c r="B31" s="49"/>
      <c r="C31" s="51"/>
      <c r="D31" s="51"/>
      <c r="E31" s="49"/>
      <c r="F31" s="231" t="s">
        <v>86</v>
      </c>
      <c r="G31" s="201" t="s">
        <v>141</v>
      </c>
      <c r="H31" s="201" t="s">
        <v>149</v>
      </c>
      <c r="I31" s="201" t="s">
        <v>142</v>
      </c>
      <c r="J31" s="202" t="s">
        <v>143</v>
      </c>
      <c r="K31" s="52"/>
      <c r="M31" s="996"/>
    </row>
    <row r="32" spans="2:13" ht="16.5" customHeight="1">
      <c r="B32" s="49"/>
      <c r="C32" s="51"/>
      <c r="D32" s="51"/>
      <c r="E32" s="49"/>
      <c r="F32" s="221"/>
      <c r="G32" s="222" t="s">
        <v>158</v>
      </c>
      <c r="H32" s="1057"/>
      <c r="I32" s="1058"/>
      <c r="J32" s="223">
        <f>I32*H32</f>
        <v>0</v>
      </c>
      <c r="K32" s="52"/>
      <c r="M32" s="996"/>
    </row>
    <row r="33" spans="2:13" ht="16.5" customHeight="1">
      <c r="B33" s="49"/>
      <c r="C33" s="51"/>
      <c r="D33" s="51"/>
      <c r="E33" s="49"/>
      <c r="F33" s="221"/>
      <c r="G33" s="222" t="s">
        <v>159</v>
      </c>
      <c r="H33" s="205"/>
      <c r="I33" s="206"/>
      <c r="J33" s="225">
        <f>I33*H33</f>
        <v>0</v>
      </c>
      <c r="K33" s="52"/>
      <c r="M33" s="996"/>
    </row>
    <row r="34" spans="2:13" ht="16.5" customHeight="1">
      <c r="B34" s="49"/>
      <c r="C34" s="51"/>
      <c r="D34" s="51"/>
      <c r="E34" s="49"/>
      <c r="F34" s="221"/>
      <c r="G34" s="222" t="s">
        <v>160</v>
      </c>
      <c r="H34" s="205"/>
      <c r="I34" s="206"/>
      <c r="J34" s="225">
        <f>I34*H34</f>
        <v>0</v>
      </c>
      <c r="K34" s="52"/>
      <c r="M34" s="996"/>
    </row>
    <row r="35" spans="2:13" ht="16.5" customHeight="1">
      <c r="B35" s="49"/>
      <c r="C35" s="51"/>
      <c r="D35" s="51"/>
      <c r="E35" s="49"/>
      <c r="F35" s="221"/>
      <c r="G35" s="224" t="s">
        <v>161</v>
      </c>
      <c r="H35" s="51"/>
      <c r="I35" s="232"/>
      <c r="J35" s="207" t="e">
        <f>Background!Q79*Background!Q78</f>
        <v>#DIV/0!</v>
      </c>
      <c r="K35" s="52"/>
      <c r="M35" s="996"/>
    </row>
    <row r="36" spans="2:13" ht="16.5" customHeight="1">
      <c r="B36" s="49"/>
      <c r="C36" s="51"/>
      <c r="D36" s="51"/>
      <c r="E36" s="49"/>
      <c r="F36" s="226"/>
      <c r="G36" s="227" t="s">
        <v>152</v>
      </c>
      <c r="H36" s="228"/>
      <c r="I36" s="229"/>
      <c r="J36" s="230" t="e">
        <f>SUM(Expenses!J32:J35)</f>
        <v>#DIV/0!</v>
      </c>
      <c r="K36" s="52"/>
      <c r="M36" s="996"/>
    </row>
    <row r="37" spans="2:13" ht="16.5" customHeight="1">
      <c r="B37" s="49"/>
      <c r="C37" s="51"/>
      <c r="D37" s="51"/>
      <c r="E37" s="49"/>
      <c r="F37" s="217"/>
      <c r="G37" s="218"/>
      <c r="H37" s="219"/>
      <c r="I37" s="220"/>
      <c r="J37" s="220"/>
      <c r="K37" s="52"/>
      <c r="M37" s="996"/>
    </row>
    <row r="38" spans="2:13" ht="16.5" customHeight="1">
      <c r="B38" s="49"/>
      <c r="C38" s="51"/>
      <c r="D38" s="51"/>
      <c r="E38" s="49"/>
      <c r="F38" s="231" t="s">
        <v>162</v>
      </c>
      <c r="G38" s="201" t="s">
        <v>141</v>
      </c>
      <c r="H38" s="233" t="s">
        <v>163</v>
      </c>
      <c r="I38" s="234" t="s">
        <v>164</v>
      </c>
      <c r="J38" s="235" t="s">
        <v>165</v>
      </c>
      <c r="K38" s="52"/>
      <c r="M38" s="996"/>
    </row>
    <row r="39" spans="2:13" ht="16.5" customHeight="1">
      <c r="B39" s="49"/>
      <c r="C39" s="51"/>
      <c r="D39" s="51"/>
      <c r="E39" s="49"/>
      <c r="F39" s="221"/>
      <c r="G39" s="222" t="s">
        <v>72</v>
      </c>
      <c r="H39" s="1112"/>
      <c r="I39" s="1113"/>
      <c r="J39" s="236" t="str">
        <f>IF(H39=0,"$0.00",(I39/H39))</f>
        <v>$0.00</v>
      </c>
      <c r="K39" s="52"/>
      <c r="M39" s="996"/>
    </row>
    <row r="40" spans="2:13" ht="16.5" customHeight="1">
      <c r="B40" s="49"/>
      <c r="C40" s="51"/>
      <c r="D40" s="51"/>
      <c r="E40" s="49"/>
      <c r="F40" s="221"/>
      <c r="G40" s="222" t="s">
        <v>53</v>
      </c>
      <c r="H40" s="1114"/>
      <c r="I40" s="1115"/>
      <c r="J40" s="237" t="str">
        <f>IF(H40=0,"$0.00",(I40/H40))</f>
        <v>$0.00</v>
      </c>
      <c r="K40" s="52"/>
      <c r="M40" s="996"/>
    </row>
    <row r="41" spans="2:13" ht="16.5" customHeight="1">
      <c r="B41" s="49"/>
      <c r="C41" s="51"/>
      <c r="D41" s="51"/>
      <c r="E41" s="49"/>
      <c r="F41" s="221"/>
      <c r="G41" s="222" t="s">
        <v>61</v>
      </c>
      <c r="H41" s="1114"/>
      <c r="I41" s="1115"/>
      <c r="J41" s="237" t="str">
        <f>IF(H41=0,"$0.00",(I41/H41))</f>
        <v>$0.00</v>
      </c>
      <c r="K41" s="52"/>
      <c r="M41" s="996"/>
    </row>
    <row r="42" spans="2:13" ht="16.5" customHeight="1">
      <c r="B42" s="49"/>
      <c r="C42" s="51"/>
      <c r="D42" s="51"/>
      <c r="E42" s="49"/>
      <c r="F42" s="221"/>
      <c r="G42" s="224" t="s">
        <v>166</v>
      </c>
      <c r="H42" s="1114"/>
      <c r="I42" s="1115"/>
      <c r="J42" s="237" t="str">
        <f>IF(H42=0,"$0.00",(I42/H42))</f>
        <v>$0.00</v>
      </c>
      <c r="K42" s="52"/>
      <c r="M42" s="996"/>
    </row>
    <row r="43" spans="2:13" ht="16.5" customHeight="1">
      <c r="B43" s="49"/>
      <c r="C43" s="51"/>
      <c r="D43" s="51"/>
      <c r="E43" s="134"/>
      <c r="F43" s="226"/>
      <c r="G43" s="227" t="s">
        <v>152</v>
      </c>
      <c r="H43" s="74"/>
      <c r="I43" s="238">
        <f>SUM(I39:I42)</f>
        <v>0</v>
      </c>
      <c r="J43" s="239"/>
      <c r="K43" s="52"/>
      <c r="M43" s="996"/>
    </row>
    <row r="44" spans="2:13" ht="16.5" customHeight="1">
      <c r="B44" s="49"/>
      <c r="C44" s="51"/>
      <c r="D44" s="51"/>
      <c r="E44" s="51"/>
      <c r="F44" s="51"/>
      <c r="G44" s="109"/>
      <c r="H44" s="153"/>
      <c r="I44" s="154"/>
      <c r="J44" s="154"/>
      <c r="K44" s="52"/>
      <c r="M44" s="996"/>
    </row>
    <row r="45" spans="2:13" s="197" customFormat="1" ht="16.5" customHeight="1">
      <c r="B45" s="198"/>
      <c r="C45" s="199"/>
      <c r="D45" s="199"/>
      <c r="E45" s="200" t="s">
        <v>167</v>
      </c>
      <c r="F45" s="171" t="s">
        <v>168</v>
      </c>
      <c r="G45" s="201" t="s">
        <v>141</v>
      </c>
      <c r="H45" s="201" t="s">
        <v>149</v>
      </c>
      <c r="I45" s="201" t="s">
        <v>142</v>
      </c>
      <c r="J45" s="202" t="s">
        <v>143</v>
      </c>
      <c r="K45" s="203"/>
      <c r="M45" s="1010"/>
    </row>
    <row r="46" spans="2:13" ht="16.5" customHeight="1">
      <c r="B46" s="49"/>
      <c r="C46" s="51"/>
      <c r="D46" s="51"/>
      <c r="E46" s="49"/>
      <c r="F46" s="221"/>
      <c r="G46" s="127" t="s">
        <v>169</v>
      </c>
      <c r="H46" s="1057"/>
      <c r="I46" s="1058"/>
      <c r="J46" s="934">
        <f>I46*H46</f>
        <v>0</v>
      </c>
      <c r="K46" s="52"/>
      <c r="M46" s="996"/>
    </row>
    <row r="47" spans="2:17" ht="16.5" customHeight="1">
      <c r="B47" s="49"/>
      <c r="C47" s="51"/>
      <c r="D47" s="51"/>
      <c r="E47" s="49"/>
      <c r="F47" s="221"/>
      <c r="G47" s="127" t="s">
        <v>170</v>
      </c>
      <c r="H47" s="205"/>
      <c r="I47" s="206"/>
      <c r="J47" s="935">
        <f>I47*H47</f>
        <v>0</v>
      </c>
      <c r="K47" s="52"/>
      <c r="M47" s="996"/>
      <c r="N47" s="43"/>
      <c r="O47" s="43"/>
      <c r="P47" s="43"/>
      <c r="Q47" s="43"/>
    </row>
    <row r="48" spans="2:13" ht="16.5" customHeight="1">
      <c r="B48" s="49"/>
      <c r="C48" s="51"/>
      <c r="D48" s="51"/>
      <c r="E48" s="49"/>
      <c r="F48" s="221"/>
      <c r="G48" s="127" t="s">
        <v>171</v>
      </c>
      <c r="H48" s="241"/>
      <c r="I48" s="232"/>
      <c r="J48" s="936">
        <f>Equipment!M40*FarmData!H38</f>
        <v>0</v>
      </c>
      <c r="K48" s="52"/>
      <c r="M48" s="996"/>
    </row>
    <row r="49" spans="2:13" ht="16.5" customHeight="1">
      <c r="B49" s="49"/>
      <c r="C49" s="51"/>
      <c r="D49" s="51"/>
      <c r="E49" s="49"/>
      <c r="F49" s="221"/>
      <c r="G49" s="127" t="s">
        <v>172</v>
      </c>
      <c r="H49" s="242"/>
      <c r="I49" s="243"/>
      <c r="J49" s="935">
        <f>Background!Q91</f>
        <v>0</v>
      </c>
      <c r="K49" s="52"/>
      <c r="M49" s="996"/>
    </row>
    <row r="50" spans="2:13" ht="16.5" customHeight="1">
      <c r="B50" s="49"/>
      <c r="C50" s="51"/>
      <c r="D50" s="51"/>
      <c r="E50" s="49"/>
      <c r="F50" s="226"/>
      <c r="G50" s="213" t="s">
        <v>152</v>
      </c>
      <c r="H50" s="214"/>
      <c r="I50" s="215"/>
      <c r="J50" s="216">
        <f>SUM(J46:J49)</f>
        <v>0</v>
      </c>
      <c r="K50" s="52"/>
      <c r="M50" s="996"/>
    </row>
    <row r="51" spans="2:13" ht="16.5" customHeight="1">
      <c r="B51" s="49"/>
      <c r="C51" s="51"/>
      <c r="D51" s="51"/>
      <c r="E51" s="49"/>
      <c r="F51" s="217"/>
      <c r="G51" s="218"/>
      <c r="H51" s="219"/>
      <c r="I51" s="220"/>
      <c r="J51" s="220"/>
      <c r="K51" s="52"/>
      <c r="M51" s="996"/>
    </row>
    <row r="52" spans="2:13" ht="16.5" customHeight="1">
      <c r="B52" s="49"/>
      <c r="C52" s="51"/>
      <c r="D52" s="51"/>
      <c r="E52" s="49"/>
      <c r="F52" s="231" t="s">
        <v>173</v>
      </c>
      <c r="G52" s="244"/>
      <c r="H52" s="245"/>
      <c r="I52" s="246"/>
      <c r="J52" s="247"/>
      <c r="K52" s="52"/>
      <c r="M52" s="996"/>
    </row>
    <row r="53" spans="2:13" ht="16.5" customHeight="1">
      <c r="B53" s="49"/>
      <c r="C53" s="51"/>
      <c r="D53" s="51"/>
      <c r="E53" s="49"/>
      <c r="F53" s="221"/>
      <c r="G53" s="222" t="s">
        <v>174</v>
      </c>
      <c r="H53" s="1057"/>
      <c r="I53" s="1058"/>
      <c r="J53" s="223">
        <f>I53*H53</f>
        <v>0</v>
      </c>
      <c r="K53" s="52"/>
      <c r="M53" s="996"/>
    </row>
    <row r="54" spans="2:13" ht="16.5" customHeight="1">
      <c r="B54" s="49"/>
      <c r="C54" s="51"/>
      <c r="D54" s="51"/>
      <c r="E54" s="49"/>
      <c r="F54" s="221"/>
      <c r="G54" s="222" t="s">
        <v>175</v>
      </c>
      <c r="H54" s="205"/>
      <c r="I54" s="206"/>
      <c r="J54" s="225">
        <f>I54*H54</f>
        <v>0</v>
      </c>
      <c r="K54" s="52"/>
      <c r="M54" s="996"/>
    </row>
    <row r="55" spans="2:13" ht="16.5" customHeight="1">
      <c r="B55" s="49"/>
      <c r="C55" s="51"/>
      <c r="D55" s="51"/>
      <c r="E55" s="49"/>
      <c r="F55" s="221"/>
      <c r="G55" s="224" t="s">
        <v>176</v>
      </c>
      <c r="H55" s="205"/>
      <c r="I55" s="206"/>
      <c r="J55" s="225">
        <f>I55*H55</f>
        <v>0</v>
      </c>
      <c r="K55" s="52"/>
      <c r="M55" s="996"/>
    </row>
    <row r="56" spans="2:13" ht="16.5" customHeight="1">
      <c r="B56" s="49"/>
      <c r="C56" s="51"/>
      <c r="D56" s="51"/>
      <c r="E56" s="134"/>
      <c r="F56" s="226"/>
      <c r="G56" s="227" t="s">
        <v>152</v>
      </c>
      <c r="H56" s="228"/>
      <c r="I56" s="229"/>
      <c r="J56" s="216">
        <f>SUM(J53:J55)</f>
        <v>0</v>
      </c>
      <c r="K56" s="52"/>
      <c r="M56" s="996"/>
    </row>
    <row r="57" spans="2:13" ht="16.5" customHeight="1">
      <c r="B57" s="49"/>
      <c r="C57" s="51"/>
      <c r="D57" s="51"/>
      <c r="E57" s="51"/>
      <c r="F57" s="51"/>
      <c r="G57" s="125"/>
      <c r="H57" s="153"/>
      <c r="I57" s="154"/>
      <c r="J57" s="154"/>
      <c r="K57" s="52"/>
      <c r="M57" s="996"/>
    </row>
    <row r="58" spans="2:13" s="197" customFormat="1" ht="16.5" customHeight="1" thickBot="1">
      <c r="B58" s="198"/>
      <c r="C58" s="199"/>
      <c r="D58" s="199"/>
      <c r="E58" s="200" t="s">
        <v>177</v>
      </c>
      <c r="F58" s="171"/>
      <c r="G58" s="201"/>
      <c r="H58" s="201"/>
      <c r="I58" s="201"/>
      <c r="J58" s="202"/>
      <c r="K58" s="203"/>
      <c r="M58" s="1010"/>
    </row>
    <row r="59" spans="2:13" ht="16.5" customHeight="1" thickBot="1">
      <c r="B59" s="49"/>
      <c r="C59" s="1154" t="s">
        <v>144</v>
      </c>
      <c r="D59" s="51"/>
      <c r="E59" s="49"/>
      <c r="F59" s="221"/>
      <c r="G59" s="248" t="s">
        <v>178</v>
      </c>
      <c r="H59" s="249"/>
      <c r="I59" s="250"/>
      <c r="J59" s="251" t="e">
        <f>Expenses!J16+Expenses!J21+Expenses!J29+Expenses!J36+Expenses!I43</f>
        <v>#DIV/0!</v>
      </c>
      <c r="K59" s="52"/>
      <c r="M59" s="996"/>
    </row>
    <row r="60" spans="2:13" ht="16.5" customHeight="1" thickBot="1">
      <c r="B60" s="49"/>
      <c r="C60" s="1154"/>
      <c r="D60" s="51"/>
      <c r="E60" s="49"/>
      <c r="F60" s="221"/>
      <c r="G60" s="127" t="s">
        <v>179</v>
      </c>
      <c r="H60" s="252"/>
      <c r="I60" s="232"/>
      <c r="J60" s="253">
        <f>Expenses!J50+Expenses!J56</f>
        <v>0</v>
      </c>
      <c r="K60" s="52"/>
      <c r="M60" s="996"/>
    </row>
    <row r="61" spans="2:17" ht="16.5" customHeight="1">
      <c r="B61" s="49"/>
      <c r="C61" s="51"/>
      <c r="D61" s="51"/>
      <c r="E61" s="49"/>
      <c r="F61" s="221"/>
      <c r="G61" s="92" t="s">
        <v>180</v>
      </c>
      <c r="H61" s="241"/>
      <c r="I61" s="254"/>
      <c r="J61" s="255" t="e">
        <f>Expenses!J59+Expenses!J60</f>
        <v>#DIV/0!</v>
      </c>
      <c r="K61" s="52"/>
      <c r="M61" s="996"/>
      <c r="N61" s="43"/>
      <c r="O61" s="43"/>
      <c r="P61" s="43"/>
      <c r="Q61" s="43"/>
    </row>
    <row r="62" spans="2:13" ht="16.5" customHeight="1" thickBot="1">
      <c r="B62" s="49"/>
      <c r="C62" s="51"/>
      <c r="D62" s="51"/>
      <c r="E62" s="72"/>
      <c r="F62" s="226"/>
      <c r="G62" s="256" t="s">
        <v>181</v>
      </c>
      <c r="H62" s="257"/>
      <c r="I62" s="258"/>
      <c r="J62" s="259" t="e">
        <f>Income!J20-J61</f>
        <v>#DIV/0!</v>
      </c>
      <c r="K62" s="52"/>
      <c r="M62" s="997"/>
    </row>
    <row r="63" spans="2:11" ht="12.75">
      <c r="B63" s="72"/>
      <c r="C63" s="74"/>
      <c r="D63" s="74"/>
      <c r="E63" s="74"/>
      <c r="F63" s="74"/>
      <c r="G63" s="74"/>
      <c r="H63" s="74"/>
      <c r="I63" s="74"/>
      <c r="J63" s="74"/>
      <c r="K63" s="75"/>
    </row>
    <row r="64" spans="2:11" ht="33.75" customHeight="1">
      <c r="B64" s="1156" t="s">
        <v>182</v>
      </c>
      <c r="C64" s="1156"/>
      <c r="D64" s="1156"/>
      <c r="E64" s="1156"/>
      <c r="F64" s="1156"/>
      <c r="G64" s="1156"/>
      <c r="H64" s="1156"/>
      <c r="I64" s="1156"/>
      <c r="J64" s="1156"/>
      <c r="K64" s="1156"/>
    </row>
    <row r="80" ht="15" customHeight="1"/>
    <row r="81" ht="21" customHeight="1"/>
  </sheetData>
  <sheetProtection password="DEBF" sheet="1"/>
  <mergeCells count="7">
    <mergeCell ref="C10:C11"/>
    <mergeCell ref="C14:C15"/>
    <mergeCell ref="C18:C19"/>
    <mergeCell ref="C59:C60"/>
    <mergeCell ref="B64:K64"/>
    <mergeCell ref="E3:I6"/>
    <mergeCell ref="J3:J6"/>
  </mergeCells>
  <conditionalFormatting sqref="H9:I13">
    <cfRule type="expression" priority="16" dxfId="7" stopIfTrue="1">
      <formula>LEN(TRIM(H9))=0</formula>
    </cfRule>
  </conditionalFormatting>
  <conditionalFormatting sqref="G9:G14">
    <cfRule type="expression" priority="15" dxfId="7" stopIfTrue="1">
      <formula>LEN(TRIM(G9))=0</formula>
    </cfRule>
  </conditionalFormatting>
  <conditionalFormatting sqref="H14:I14">
    <cfRule type="expression" priority="7" dxfId="7" stopIfTrue="1">
      <formula>LEN(TRIM(H14))=0</formula>
    </cfRule>
  </conditionalFormatting>
  <conditionalFormatting sqref="H19:I20">
    <cfRule type="expression" priority="6" dxfId="7" stopIfTrue="1">
      <formula>LEN(TRIM(H19))=0</formula>
    </cfRule>
  </conditionalFormatting>
  <conditionalFormatting sqref="H24:I28">
    <cfRule type="expression" priority="5" dxfId="7" stopIfTrue="1">
      <formula>LEN(TRIM(H24))=0</formula>
    </cfRule>
  </conditionalFormatting>
  <conditionalFormatting sqref="H32:I34">
    <cfRule type="expression" priority="4" dxfId="7" stopIfTrue="1">
      <formula>(LEN(TRIM(H32))=0)</formula>
    </cfRule>
  </conditionalFormatting>
  <conditionalFormatting sqref="H39:I42">
    <cfRule type="expression" priority="3" dxfId="7" stopIfTrue="1">
      <formula>LEN(TRIM(H39))=0</formula>
    </cfRule>
  </conditionalFormatting>
  <conditionalFormatting sqref="H46:I47">
    <cfRule type="expression" priority="2" dxfId="7" stopIfTrue="1">
      <formula>LEN(TRIM(H46))=0</formula>
    </cfRule>
  </conditionalFormatting>
  <conditionalFormatting sqref="H53:I55">
    <cfRule type="expression" priority="1" dxfId="7" stopIfTrue="1">
      <formula>LEN(TRIM(H53))=0</formula>
    </cfRule>
  </conditionalFormatting>
  <hyperlinks>
    <hyperlink ref="C10" location="Targets!I8" display="     Next     "/>
    <hyperlink ref="C14" location="Income!G9" display="     Back     "/>
    <hyperlink ref="C18" location="Menu!E3" display="   Menu   "/>
    <hyperlink ref="C59" location="Targets!I8" display="     Next     "/>
  </hyperlinks>
  <printOptions/>
  <pageMargins left="0.75" right="0.75" top="1" bottom="1" header="0.5118055555555555" footer="0.5118055555555555"/>
  <pageSetup fitToHeight="1" fitToWidth="1" horizontalDpi="300" verticalDpi="300" orientation="portrait" scale="45" r:id="rId4"/>
  <drawing r:id="rId3"/>
  <legacyDrawing r:id="rId2"/>
</worksheet>
</file>

<file path=xl/worksheets/sheet7.xml><?xml version="1.0" encoding="utf-8"?>
<worksheet xmlns="http://schemas.openxmlformats.org/spreadsheetml/2006/main" xmlns:r="http://schemas.openxmlformats.org/officeDocument/2006/relationships">
  <dimension ref="B1:Z62"/>
  <sheetViews>
    <sheetView showGridLines="0" showRowColHeaders="0" zoomScale="80" zoomScaleNormal="80" zoomScaleSheetLayoutView="100" workbookViewId="0" topLeftCell="D3">
      <selection activeCell="U1" sqref="N1:U16384"/>
    </sheetView>
  </sheetViews>
  <sheetFormatPr defaultColWidth="9.140625" defaultRowHeight="12.75"/>
  <cols>
    <col min="1" max="2" width="1.421875" style="41" customWidth="1"/>
    <col min="3" max="3" width="19.421875" style="41" customWidth="1"/>
    <col min="4" max="4" width="0.9921875" style="41" customWidth="1"/>
    <col min="5" max="5" width="15.140625" style="41" customWidth="1"/>
    <col min="6" max="6" width="14.28125" style="41" customWidth="1"/>
    <col min="7" max="7" width="23.00390625" style="41" customWidth="1"/>
    <col min="8" max="8" width="16.00390625" style="80" customWidth="1"/>
    <col min="9" max="11" width="25.57421875" style="140" customWidth="1"/>
    <col min="12" max="12" width="1.1484375" style="41" customWidth="1"/>
    <col min="13" max="13" width="16.7109375" style="41" customWidth="1"/>
    <col min="14" max="14" width="23.7109375" style="41" hidden="1" customWidth="1"/>
    <col min="15" max="15" width="18.28125" style="140" hidden="1" customWidth="1"/>
    <col min="16" max="16" width="16.140625" style="140" hidden="1" customWidth="1"/>
    <col min="17" max="17" width="15.421875" style="140" hidden="1" customWidth="1"/>
    <col min="18" max="18" width="16.7109375" style="140" hidden="1" customWidth="1"/>
    <col min="19" max="19" width="17.421875" style="140" hidden="1" customWidth="1"/>
    <col min="20" max="20" width="18.00390625" style="140" hidden="1" customWidth="1"/>
    <col min="21" max="21" width="18.8515625" style="140" hidden="1" customWidth="1"/>
    <col min="22" max="22" width="25.57421875" style="41" customWidth="1"/>
    <col min="23" max="42" width="9.140625" style="41" customWidth="1"/>
    <col min="43" max="43" width="1.421875" style="41" customWidth="1"/>
    <col min="44" max="44" width="14.421875" style="41" customWidth="1"/>
    <col min="45" max="45" width="15.421875" style="41" customWidth="1"/>
    <col min="46" max="46" width="18.8515625" style="41" customWidth="1"/>
    <col min="47" max="47" width="18.140625" style="41" customWidth="1"/>
    <col min="48" max="48" width="16.421875" style="41" customWidth="1"/>
    <col min="49" max="49" width="17.00390625" style="41" customWidth="1"/>
    <col min="50" max="50" width="18.140625" style="41" customWidth="1"/>
    <col min="51" max="51" width="21.57421875" style="41" customWidth="1"/>
    <col min="52" max="16384" width="9.140625" style="41" customWidth="1"/>
  </cols>
  <sheetData>
    <row r="1" ht="4.5" customHeight="1" thickBot="1">
      <c r="N1" s="41" t="s">
        <v>728</v>
      </c>
    </row>
    <row r="2" spans="2:13" ht="12.75" customHeight="1">
      <c r="B2" s="45"/>
      <c r="C2" s="47"/>
      <c r="D2" s="47"/>
      <c r="E2" s="1141" t="s">
        <v>183</v>
      </c>
      <c r="F2" s="1147"/>
      <c r="G2" s="1147"/>
      <c r="H2" s="1147"/>
      <c r="I2" s="1147"/>
      <c r="J2" s="1147">
        <f>Welcome!H25</f>
        <v>2011</v>
      </c>
      <c r="K2" s="1168"/>
      <c r="L2" s="905"/>
      <c r="M2" s="84"/>
    </row>
    <row r="3" spans="2:17" ht="12.75" customHeight="1">
      <c r="B3" s="49"/>
      <c r="C3" s="51"/>
      <c r="D3" s="51"/>
      <c r="E3" s="1164"/>
      <c r="F3" s="1165"/>
      <c r="G3" s="1165"/>
      <c r="H3" s="1165"/>
      <c r="I3" s="1165"/>
      <c r="J3" s="1165"/>
      <c r="K3" s="1169"/>
      <c r="L3" s="905"/>
      <c r="M3" s="84"/>
      <c r="Q3" s="140" t="s">
        <v>184</v>
      </c>
    </row>
    <row r="4" spans="2:26" ht="12.75" customHeight="1">
      <c r="B4" s="49"/>
      <c r="C4" s="51"/>
      <c r="D4" s="51"/>
      <c r="E4" s="1164"/>
      <c r="F4" s="1165"/>
      <c r="G4" s="1165"/>
      <c r="H4" s="1165"/>
      <c r="I4" s="1165"/>
      <c r="J4" s="1165"/>
      <c r="K4" s="1169"/>
      <c r="L4" s="905"/>
      <c r="M4" s="84"/>
      <c r="N4" s="41" t="str">
        <f>Welcome!H21</f>
        <v>Commercial medium-input</v>
      </c>
      <c r="O4" s="260" t="s">
        <v>184</v>
      </c>
      <c r="P4" s="260"/>
      <c r="Q4" s="260"/>
      <c r="R4" s="260"/>
      <c r="S4" s="260"/>
      <c r="T4" s="260"/>
      <c r="U4" s="261"/>
      <c r="V4" s="80"/>
      <c r="W4" s="80"/>
      <c r="X4" s="80"/>
      <c r="Y4" s="80"/>
      <c r="Z4" s="80"/>
    </row>
    <row r="5" spans="2:21" ht="13.5" customHeight="1" thickBot="1">
      <c r="B5" s="49"/>
      <c r="C5" s="51"/>
      <c r="D5" s="51"/>
      <c r="E5" s="1166"/>
      <c r="F5" s="1167"/>
      <c r="G5" s="1167"/>
      <c r="H5" s="1167"/>
      <c r="I5" s="1167"/>
      <c r="J5" s="1167"/>
      <c r="K5" s="1170"/>
      <c r="L5" s="905"/>
      <c r="M5" s="84"/>
      <c r="N5" s="262">
        <f>IF(Welcome!H21="Commercial low-input",1,IF(Welcome!H21="Commercial high-input",3,IF(Welcome!H21="Seedstock low-input",4,IF(Welcome!H21="Seedstock medium-input",5,IF(Welcome!H21="Seedstock high-input",6,2)))))</f>
        <v>2</v>
      </c>
      <c r="O5" s="260">
        <v>1</v>
      </c>
      <c r="P5" s="263">
        <v>2</v>
      </c>
      <c r="Q5" s="260">
        <v>3</v>
      </c>
      <c r="R5" s="264">
        <v>4</v>
      </c>
      <c r="S5" s="265">
        <v>5</v>
      </c>
      <c r="T5" s="264">
        <v>6</v>
      </c>
      <c r="U5" s="266" t="s">
        <v>185</v>
      </c>
    </row>
    <row r="6" spans="2:21" ht="0" customHeight="1" hidden="1">
      <c r="B6" s="49"/>
      <c r="C6" s="302"/>
      <c r="D6" s="894"/>
      <c r="L6" s="903"/>
      <c r="M6" s="84"/>
      <c r="O6" s="267"/>
      <c r="P6" s="268"/>
      <c r="Q6" s="269"/>
      <c r="R6" s="270"/>
      <c r="S6" s="269"/>
      <c r="T6" s="270"/>
      <c r="U6" s="271"/>
    </row>
    <row r="7" spans="2:21" ht="12" customHeight="1">
      <c r="B7" s="49"/>
      <c r="C7" s="51"/>
      <c r="D7" s="51"/>
      <c r="E7" s="302"/>
      <c r="F7" s="302"/>
      <c r="G7" s="302"/>
      <c r="H7" s="302"/>
      <c r="I7" s="302"/>
      <c r="J7" s="302"/>
      <c r="K7" s="51"/>
      <c r="L7" s="903"/>
      <c r="M7" s="84"/>
      <c r="N7" s="84"/>
      <c r="O7" s="267"/>
      <c r="P7" s="268"/>
      <c r="Q7" s="269"/>
      <c r="R7" s="270"/>
      <c r="S7" s="269"/>
      <c r="T7" s="270"/>
      <c r="U7" s="271"/>
    </row>
    <row r="8" spans="2:21" ht="15.75" customHeight="1" thickBot="1">
      <c r="B8" s="49"/>
      <c r="C8" s="51"/>
      <c r="D8" s="51"/>
      <c r="E8" s="86" t="s">
        <v>186</v>
      </c>
      <c r="F8" s="47"/>
      <c r="G8" s="47"/>
      <c r="H8" s="272"/>
      <c r="I8" s="273" t="s">
        <v>187</v>
      </c>
      <c r="J8" s="273" t="s">
        <v>187</v>
      </c>
      <c r="K8" s="273" t="str">
        <f>Welcome!H21</f>
        <v>Commercial medium-input</v>
      </c>
      <c r="L8" s="903"/>
      <c r="M8" s="84"/>
      <c r="N8" s="84"/>
      <c r="O8" s="277"/>
      <c r="P8" s="278"/>
      <c r="Q8" s="277"/>
      <c r="R8" s="279"/>
      <c r="S8" s="280"/>
      <c r="T8" s="279"/>
      <c r="U8" s="271"/>
    </row>
    <row r="9" spans="2:21" ht="15.75" customHeight="1" thickBot="1">
      <c r="B9" s="49"/>
      <c r="C9" s="1154" t="s">
        <v>144</v>
      </c>
      <c r="D9" s="51"/>
      <c r="E9" s="274"/>
      <c r="F9" s="51"/>
      <c r="G9" s="51"/>
      <c r="H9" s="102"/>
      <c r="I9" s="275" t="s">
        <v>188</v>
      </c>
      <c r="J9" s="276" t="s">
        <v>28</v>
      </c>
      <c r="K9" s="275" t="s">
        <v>688</v>
      </c>
      <c r="L9" s="913"/>
      <c r="M9" s="76"/>
      <c r="N9" s="82" t="s">
        <v>736</v>
      </c>
      <c r="O9" s="140">
        <v>38</v>
      </c>
      <c r="P9" s="1062">
        <v>36</v>
      </c>
      <c r="Q9" s="140">
        <v>34</v>
      </c>
      <c r="R9" s="1062">
        <v>26</v>
      </c>
      <c r="S9" s="140">
        <v>24</v>
      </c>
      <c r="T9" s="1062">
        <v>22</v>
      </c>
      <c r="U9" s="1116">
        <f>HLOOKUP(N5,O5:T9,5,TRUE)</f>
        <v>36</v>
      </c>
    </row>
    <row r="10" spans="2:21" ht="15.75" customHeight="1" thickBot="1">
      <c r="B10" s="49"/>
      <c r="C10" s="1154"/>
      <c r="D10" s="51"/>
      <c r="E10" s="49"/>
      <c r="F10" s="87" t="s">
        <v>53</v>
      </c>
      <c r="G10" s="1171" t="s">
        <v>731</v>
      </c>
      <c r="H10" s="1171"/>
      <c r="I10" s="281" t="e">
        <f>FarmData!H17/FarmData!H9</f>
        <v>#DIV/0!</v>
      </c>
      <c r="J10" s="282"/>
      <c r="K10" s="1023">
        <f>U10</f>
        <v>1.9</v>
      </c>
      <c r="L10" s="903"/>
      <c r="M10" s="1006" t="s">
        <v>689</v>
      </c>
      <c r="N10" s="84" t="s">
        <v>189</v>
      </c>
      <c r="O10" s="283">
        <v>1.75</v>
      </c>
      <c r="P10" s="284">
        <v>1.9</v>
      </c>
      <c r="Q10" s="285">
        <v>2.05</v>
      </c>
      <c r="R10" s="286">
        <v>1.75</v>
      </c>
      <c r="S10" s="287">
        <v>1.85</v>
      </c>
      <c r="T10" s="286">
        <v>1.95</v>
      </c>
      <c r="U10" s="288">
        <f>HLOOKUP(N5,O5:T10,6,TRUE)</f>
        <v>1.9</v>
      </c>
    </row>
    <row r="11" spans="2:21" ht="15.75" customHeight="1" thickBot="1">
      <c r="B11" s="49"/>
      <c r="C11" s="915"/>
      <c r="D11" s="51"/>
      <c r="E11" s="907"/>
      <c r="F11" s="906" t="s">
        <v>624</v>
      </c>
      <c r="G11" s="1175" t="s">
        <v>625</v>
      </c>
      <c r="H11" s="1160"/>
      <c r="I11" s="289" t="e">
        <f>FarmData!H9/FarmData!H8</f>
        <v>#DIV/0!</v>
      </c>
      <c r="J11" s="290"/>
      <c r="K11" s="1024">
        <f>U11</f>
        <v>0.95</v>
      </c>
      <c r="L11" s="903"/>
      <c r="M11" s="996"/>
      <c r="N11" s="84" t="s">
        <v>625</v>
      </c>
      <c r="O11" s="908">
        <v>0.95</v>
      </c>
      <c r="P11" s="909">
        <v>0.95</v>
      </c>
      <c r="Q11" s="910">
        <v>0.95</v>
      </c>
      <c r="R11" s="911">
        <v>0.95</v>
      </c>
      <c r="S11" s="910">
        <v>0.95</v>
      </c>
      <c r="T11" s="911">
        <v>0.95</v>
      </c>
      <c r="U11" s="288">
        <f>HLOOKUP(N5,O5:T11,7,TRUE)</f>
        <v>0.95</v>
      </c>
    </row>
    <row r="12" spans="2:21" ht="15.75" customHeight="1" thickBot="1">
      <c r="B12" s="49"/>
      <c r="C12" s="1155" t="s">
        <v>145</v>
      </c>
      <c r="D12" s="51"/>
      <c r="E12" s="49"/>
      <c r="F12" s="918"/>
      <c r="G12" s="1160" t="s">
        <v>629</v>
      </c>
      <c r="H12" s="1160"/>
      <c r="I12" s="289">
        <f>IF(FarmData!H5=0,0,IF(Background!Q80-(FarmData!H6/FarmData!H5)&lt;0,0,Background!Q80-(FarmData!H6/FarmData!H5)))</f>
        <v>0</v>
      </c>
      <c r="J12" s="290"/>
      <c r="K12" s="1025">
        <f>U12</f>
        <v>0.13</v>
      </c>
      <c r="L12" s="903"/>
      <c r="M12" s="996"/>
      <c r="N12" s="84" t="s">
        <v>190</v>
      </c>
      <c r="O12" s="283">
        <v>0.12</v>
      </c>
      <c r="P12" s="291">
        <v>0.13</v>
      </c>
      <c r="Q12" s="285">
        <v>0.14</v>
      </c>
      <c r="R12" s="292">
        <v>0.12</v>
      </c>
      <c r="S12" s="285">
        <v>0.13</v>
      </c>
      <c r="T12" s="286">
        <v>0.14</v>
      </c>
      <c r="U12" s="288">
        <f>HLOOKUP(N5,O5:T12,8,TRUE)</f>
        <v>0.13</v>
      </c>
    </row>
    <row r="13" spans="2:21" ht="15.75" customHeight="1" thickBot="1">
      <c r="B13" s="49"/>
      <c r="C13" s="1155"/>
      <c r="D13" s="51"/>
      <c r="E13" s="49"/>
      <c r="F13" s="99"/>
      <c r="G13" s="1172" t="s">
        <v>630</v>
      </c>
      <c r="H13" s="1173"/>
      <c r="I13" s="293" t="e">
        <f>FarmData!H6/((FarmData!L5+FarmData!H5)/2)</f>
        <v>#DIV/0!</v>
      </c>
      <c r="J13" s="294"/>
      <c r="K13" s="1026">
        <f>U13</f>
        <v>0.05</v>
      </c>
      <c r="L13" s="903"/>
      <c r="M13" s="996"/>
      <c r="N13" s="84" t="s">
        <v>191</v>
      </c>
      <c r="O13" s="295">
        <v>0.04</v>
      </c>
      <c r="P13" s="291">
        <v>0.05</v>
      </c>
      <c r="Q13" s="285">
        <v>0.06</v>
      </c>
      <c r="R13" s="292">
        <v>0.04</v>
      </c>
      <c r="S13" s="285">
        <v>0.05</v>
      </c>
      <c r="T13" s="292">
        <v>0.06</v>
      </c>
      <c r="U13" s="288">
        <f>HLOOKUP(N5,O5:T13,9,TRUE)</f>
        <v>0.05</v>
      </c>
    </row>
    <row r="14" spans="2:13" ht="6.75" customHeight="1">
      <c r="B14" s="49"/>
      <c r="C14" s="51"/>
      <c r="D14" s="51"/>
      <c r="E14" s="49"/>
      <c r="F14" s="101"/>
      <c r="G14" s="297"/>
      <c r="H14" s="297"/>
      <c r="I14" s="118"/>
      <c r="J14" s="298"/>
      <c r="K14" s="901"/>
      <c r="L14" s="903"/>
      <c r="M14" s="996"/>
    </row>
    <row r="15" spans="2:21" ht="15.75" customHeight="1">
      <c r="B15" s="49"/>
      <c r="C15" s="296"/>
      <c r="D15" s="51"/>
      <c r="E15" s="49"/>
      <c r="F15" s="299" t="s">
        <v>61</v>
      </c>
      <c r="G15" s="1174" t="s">
        <v>192</v>
      </c>
      <c r="H15" s="1174"/>
      <c r="I15" s="300" t="e">
        <f>Snapshot!E69</f>
        <v>#DIV/0!</v>
      </c>
      <c r="J15" s="301"/>
      <c r="K15" s="1027">
        <f>U15</f>
        <v>0.04</v>
      </c>
      <c r="L15" s="903"/>
      <c r="M15" s="996"/>
      <c r="N15" s="84" t="s">
        <v>193</v>
      </c>
      <c r="O15" s="295">
        <v>0.03</v>
      </c>
      <c r="P15" s="291">
        <v>0.04</v>
      </c>
      <c r="Q15" s="285">
        <v>0.05</v>
      </c>
      <c r="R15" s="292">
        <v>0.03</v>
      </c>
      <c r="S15" s="285">
        <v>0.04</v>
      </c>
      <c r="T15" s="292">
        <v>0.05</v>
      </c>
      <c r="U15" s="288">
        <f>HLOOKUP(N5,O5:T15,11,TRUE)</f>
        <v>0.04</v>
      </c>
    </row>
    <row r="16" spans="2:13" ht="6.75" customHeight="1" thickBot="1">
      <c r="B16" s="49"/>
      <c r="C16" s="1158"/>
      <c r="D16" s="51"/>
      <c r="E16" s="49"/>
      <c r="F16" s="109"/>
      <c r="G16" s="297"/>
      <c r="H16" s="297"/>
      <c r="I16" s="118"/>
      <c r="J16" s="298"/>
      <c r="K16" s="901"/>
      <c r="L16" s="903"/>
      <c r="M16" s="996"/>
    </row>
    <row r="17" spans="2:21" ht="15.75" customHeight="1">
      <c r="B17" s="49"/>
      <c r="C17" s="1159"/>
      <c r="D17" s="302"/>
      <c r="E17" s="72"/>
      <c r="F17" s="299" t="s">
        <v>72</v>
      </c>
      <c r="G17" s="1174" t="s">
        <v>194</v>
      </c>
      <c r="H17" s="1176"/>
      <c r="I17" s="300" t="e">
        <f>Snapshot!E109</f>
        <v>#DIV/0!</v>
      </c>
      <c r="J17" s="301"/>
      <c r="K17" s="1039">
        <f>U17</f>
        <v>0.11</v>
      </c>
      <c r="L17" s="903"/>
      <c r="M17" s="996"/>
      <c r="N17" s="84" t="s">
        <v>195</v>
      </c>
      <c r="O17" s="283">
        <v>0.1</v>
      </c>
      <c r="P17" s="284">
        <v>0.11</v>
      </c>
      <c r="Q17" s="285">
        <v>0.12</v>
      </c>
      <c r="R17" s="292">
        <v>0.1</v>
      </c>
      <c r="S17" s="285">
        <v>0.11</v>
      </c>
      <c r="T17" s="292">
        <v>0.12</v>
      </c>
      <c r="U17" s="288">
        <f>HLOOKUP(N5,$O$5:T17,13,TRUE)</f>
        <v>0.11</v>
      </c>
    </row>
    <row r="18" spans="2:21" ht="12" customHeight="1" thickBot="1">
      <c r="B18" s="49"/>
      <c r="C18" s="51"/>
      <c r="D18" s="51"/>
      <c r="E18" s="302"/>
      <c r="F18" s="302"/>
      <c r="G18" s="302"/>
      <c r="H18" s="303"/>
      <c r="I18" s="302"/>
      <c r="J18" s="302"/>
      <c r="K18" s="51"/>
      <c r="L18" s="903"/>
      <c r="M18" s="996"/>
      <c r="N18" s="76"/>
      <c r="O18" s="309"/>
      <c r="P18" s="309"/>
      <c r="Q18" s="309"/>
      <c r="R18" s="309"/>
      <c r="S18" s="309"/>
      <c r="T18" s="309"/>
      <c r="U18" s="309"/>
    </row>
    <row r="19" spans="2:13" ht="15.75" customHeight="1" thickBot="1">
      <c r="B19" s="49"/>
      <c r="C19" s="1138" t="s">
        <v>71</v>
      </c>
      <c r="D19" s="51"/>
      <c r="E19" s="86" t="s">
        <v>24</v>
      </c>
      <c r="F19" s="47"/>
      <c r="G19" s="272"/>
      <c r="H19" s="272"/>
      <c r="I19" s="304"/>
      <c r="J19" s="305"/>
      <c r="K19" s="902"/>
      <c r="L19" s="904"/>
      <c r="M19" s="1007"/>
    </row>
    <row r="20" spans="2:21" ht="15.75" customHeight="1" thickBot="1">
      <c r="B20" s="49"/>
      <c r="C20" s="1138"/>
      <c r="D20" s="51"/>
      <c r="E20" s="306"/>
      <c r="F20" s="87" t="s">
        <v>603</v>
      </c>
      <c r="G20" s="1177" t="s">
        <v>196</v>
      </c>
      <c r="H20" s="1177"/>
      <c r="I20" s="959">
        <f>Income!K9</f>
        <v>0</v>
      </c>
      <c r="J20" s="960"/>
      <c r="K20" s="1028">
        <f>Background!AF133</f>
        <v>0</v>
      </c>
      <c r="L20" s="903"/>
      <c r="M20" s="996"/>
      <c r="N20" s="41" t="s">
        <v>196</v>
      </c>
      <c r="O20" s="1082">
        <v>160</v>
      </c>
      <c r="P20" s="1083">
        <v>165</v>
      </c>
      <c r="Q20" s="1082">
        <v>170</v>
      </c>
      <c r="R20" s="1083">
        <v>160</v>
      </c>
      <c r="S20" s="1082">
        <v>165</v>
      </c>
      <c r="T20" s="1083">
        <v>170</v>
      </c>
      <c r="U20" s="965">
        <f>HLOOKUP($N$5,$O$5:T20,16,TRUE)</f>
        <v>165</v>
      </c>
    </row>
    <row r="21" spans="2:21" ht="15.75" customHeight="1">
      <c r="B21" s="49"/>
      <c r="C21" s="51"/>
      <c r="D21" s="51"/>
      <c r="E21" s="306"/>
      <c r="F21" s="93"/>
      <c r="G21" s="1160" t="s">
        <v>197</v>
      </c>
      <c r="H21" s="1160"/>
      <c r="I21" s="976">
        <f>Income!K10</f>
        <v>0</v>
      </c>
      <c r="J21" s="977"/>
      <c r="K21" s="1029">
        <f>Background!AF134</f>
        <v>0</v>
      </c>
      <c r="L21" s="903"/>
      <c r="M21" s="996"/>
      <c r="N21" s="41" t="s">
        <v>197</v>
      </c>
      <c r="O21" s="1082">
        <v>120</v>
      </c>
      <c r="P21" s="1083">
        <v>120</v>
      </c>
      <c r="Q21" s="1082">
        <v>120</v>
      </c>
      <c r="R21" s="1083">
        <v>120</v>
      </c>
      <c r="S21" s="1082">
        <v>120</v>
      </c>
      <c r="T21" s="1083">
        <v>120</v>
      </c>
      <c r="U21" s="965">
        <f>HLOOKUP($N$5,$O$5:T21,17,TRUE)</f>
        <v>120</v>
      </c>
    </row>
    <row r="22" spans="2:21" ht="15.75" customHeight="1">
      <c r="B22" s="49"/>
      <c r="C22" s="51"/>
      <c r="D22" s="51"/>
      <c r="E22" s="49"/>
      <c r="F22" s="130"/>
      <c r="G22" s="1160" t="s">
        <v>198</v>
      </c>
      <c r="H22" s="1160"/>
      <c r="I22" s="976">
        <f>Income!K11</f>
        <v>0</v>
      </c>
      <c r="J22" s="977"/>
      <c r="K22" s="1029">
        <f>Background!AF135</f>
        <v>0</v>
      </c>
      <c r="L22" s="903"/>
      <c r="M22" s="996"/>
      <c r="N22" s="76" t="s">
        <v>702</v>
      </c>
      <c r="O22" s="1082">
        <v>200</v>
      </c>
      <c r="P22" s="1083">
        <v>200</v>
      </c>
      <c r="Q22" s="1082">
        <v>200</v>
      </c>
      <c r="R22" s="1083">
        <v>200</v>
      </c>
      <c r="S22" s="1082">
        <v>200</v>
      </c>
      <c r="T22" s="1083">
        <v>200</v>
      </c>
      <c r="U22" s="965">
        <f>HLOOKUP($N$5,$O$5:T22,18,TRUE)</f>
        <v>200</v>
      </c>
    </row>
    <row r="23" spans="2:21" ht="15.75" customHeight="1">
      <c r="B23" s="49"/>
      <c r="C23" s="51"/>
      <c r="D23" s="51"/>
      <c r="E23" s="49"/>
      <c r="F23" s="130"/>
      <c r="G23" s="1160" t="s">
        <v>199</v>
      </c>
      <c r="H23" s="1160"/>
      <c r="I23" s="976">
        <f>Income!K12</f>
        <v>0</v>
      </c>
      <c r="J23" s="977"/>
      <c r="K23" s="1029">
        <f>Background!AF136</f>
        <v>0</v>
      </c>
      <c r="L23" s="903"/>
      <c r="M23" s="996"/>
      <c r="N23" s="76" t="s">
        <v>703</v>
      </c>
      <c r="O23" s="1082">
        <v>250</v>
      </c>
      <c r="P23" s="1083">
        <v>250</v>
      </c>
      <c r="Q23" s="1082">
        <v>250</v>
      </c>
      <c r="R23" s="1083">
        <v>325</v>
      </c>
      <c r="S23" s="1082">
        <v>350</v>
      </c>
      <c r="T23" s="1083">
        <v>375</v>
      </c>
      <c r="U23" s="965">
        <f>HLOOKUP($N$5,$O$5:T23,19,TRUE)</f>
        <v>250</v>
      </c>
    </row>
    <row r="24" spans="2:21" ht="15.75" customHeight="1">
      <c r="B24" s="49"/>
      <c r="C24" s="51"/>
      <c r="D24" s="51"/>
      <c r="E24" s="49"/>
      <c r="F24" s="130"/>
      <c r="G24" s="1160" t="s">
        <v>200</v>
      </c>
      <c r="H24" s="1160"/>
      <c r="I24" s="976">
        <f>Income!K13</f>
        <v>0</v>
      </c>
      <c r="J24" s="977"/>
      <c r="K24" s="1029">
        <f>Background!AF137</f>
        <v>0</v>
      </c>
      <c r="L24" s="903"/>
      <c r="M24" s="996"/>
      <c r="N24" s="76" t="s">
        <v>704</v>
      </c>
      <c r="O24" s="1082">
        <v>225</v>
      </c>
      <c r="P24" s="1083">
        <v>225</v>
      </c>
      <c r="Q24" s="1082">
        <v>225</v>
      </c>
      <c r="R24" s="1083">
        <v>250</v>
      </c>
      <c r="S24" s="1082">
        <v>275</v>
      </c>
      <c r="T24" s="1083">
        <v>300</v>
      </c>
      <c r="U24" s="965">
        <f>HLOOKUP($N$5,$O$5:T24,20,TRUE)</f>
        <v>225</v>
      </c>
    </row>
    <row r="25" spans="2:21" ht="15.75" customHeight="1">
      <c r="B25" s="49"/>
      <c r="C25" s="51"/>
      <c r="D25" s="51"/>
      <c r="E25" s="49"/>
      <c r="F25" s="130"/>
      <c r="G25" s="1160" t="s">
        <v>202</v>
      </c>
      <c r="H25" s="1160"/>
      <c r="I25" s="976">
        <f>Income!K14</f>
        <v>0</v>
      </c>
      <c r="J25" s="977"/>
      <c r="K25" s="1029">
        <f>Background!AF140</f>
        <v>0</v>
      </c>
      <c r="L25" s="903"/>
      <c r="M25" s="996"/>
      <c r="N25" s="76" t="s">
        <v>705</v>
      </c>
      <c r="O25" s="1082">
        <v>250</v>
      </c>
      <c r="P25" s="1083">
        <v>250</v>
      </c>
      <c r="Q25" s="1082">
        <v>250</v>
      </c>
      <c r="R25" s="1083">
        <v>275</v>
      </c>
      <c r="S25" s="1082">
        <v>300</v>
      </c>
      <c r="T25" s="1083">
        <v>325</v>
      </c>
      <c r="U25" s="965">
        <f>HLOOKUP($N$5,$O$5:T25,21,TRUE)</f>
        <v>250</v>
      </c>
    </row>
    <row r="26" spans="2:21" ht="15.75" customHeight="1">
      <c r="B26" s="49"/>
      <c r="C26" s="51"/>
      <c r="D26" s="51"/>
      <c r="E26" s="49"/>
      <c r="F26" s="130"/>
      <c r="G26" s="1160" t="s">
        <v>203</v>
      </c>
      <c r="H26" s="1160"/>
      <c r="I26" s="976">
        <f>Income!K15</f>
        <v>0</v>
      </c>
      <c r="J26" s="977"/>
      <c r="K26" s="1029">
        <f>Background!AF141</f>
        <v>0</v>
      </c>
      <c r="L26" s="903"/>
      <c r="M26" s="996"/>
      <c r="N26" s="76" t="s">
        <v>706</v>
      </c>
      <c r="O26" s="1082">
        <v>275</v>
      </c>
      <c r="P26" s="1083">
        <v>275</v>
      </c>
      <c r="Q26" s="1082">
        <v>275</v>
      </c>
      <c r="R26" s="1083">
        <v>350</v>
      </c>
      <c r="S26" s="1082">
        <v>375</v>
      </c>
      <c r="T26" s="1083">
        <v>400</v>
      </c>
      <c r="U26" s="965">
        <f>HLOOKUP($N$5,$O$5:T26,22,TRUE)</f>
        <v>275</v>
      </c>
    </row>
    <row r="27" spans="2:21" ht="15.75" customHeight="1">
      <c r="B27" s="49"/>
      <c r="C27" s="51"/>
      <c r="D27" s="51"/>
      <c r="E27" s="49"/>
      <c r="F27" s="130"/>
      <c r="G27" s="1160" t="s">
        <v>204</v>
      </c>
      <c r="H27" s="1160"/>
      <c r="I27" s="976">
        <f>Income!K16</f>
        <v>0</v>
      </c>
      <c r="J27" s="977"/>
      <c r="K27" s="1029">
        <f>Background!AF142</f>
        <v>0</v>
      </c>
      <c r="L27" s="903"/>
      <c r="M27" s="996"/>
      <c r="N27" s="76" t="s">
        <v>707</v>
      </c>
      <c r="O27" s="1082">
        <v>80</v>
      </c>
      <c r="P27" s="1083">
        <v>80</v>
      </c>
      <c r="Q27" s="1082">
        <v>80</v>
      </c>
      <c r="R27" s="1083">
        <v>80</v>
      </c>
      <c r="S27" s="1082">
        <v>80</v>
      </c>
      <c r="T27" s="1083">
        <v>80</v>
      </c>
      <c r="U27" s="965">
        <f>HLOOKUP($N$5,$O$5:T27,23,TRUE)</f>
        <v>80</v>
      </c>
    </row>
    <row r="28" spans="2:21" ht="15.75" customHeight="1">
      <c r="B28" s="49"/>
      <c r="C28" s="51"/>
      <c r="D28" s="51"/>
      <c r="E28" s="49"/>
      <c r="F28" s="130"/>
      <c r="G28" s="1161" t="s">
        <v>205</v>
      </c>
      <c r="H28" s="1161"/>
      <c r="I28" s="976">
        <f>Income!K17</f>
        <v>0</v>
      </c>
      <c r="J28" s="977"/>
      <c r="K28" s="1030">
        <f>Background!AF143</f>
        <v>0</v>
      </c>
      <c r="L28" s="138"/>
      <c r="M28" s="1007"/>
      <c r="N28" s="76" t="s">
        <v>708</v>
      </c>
      <c r="O28" s="1082">
        <v>80</v>
      </c>
      <c r="P28" s="1083">
        <v>80</v>
      </c>
      <c r="Q28" s="1082">
        <v>80</v>
      </c>
      <c r="R28" s="1083">
        <v>80</v>
      </c>
      <c r="S28" s="1082">
        <v>80</v>
      </c>
      <c r="T28" s="1083">
        <v>80</v>
      </c>
      <c r="U28" s="965">
        <f>HLOOKUP($N$5,$O$5:T28,24,TRUE)</f>
        <v>80</v>
      </c>
    </row>
    <row r="29" spans="2:21" ht="15.75" customHeight="1">
      <c r="B29" s="49"/>
      <c r="C29" s="51"/>
      <c r="D29" s="51"/>
      <c r="E29" s="49"/>
      <c r="F29" s="919"/>
      <c r="G29" s="1174" t="s">
        <v>674</v>
      </c>
      <c r="H29" s="1174"/>
      <c r="I29" s="978">
        <f>Income!J20</f>
        <v>0</v>
      </c>
      <c r="J29" s="986" t="e">
        <f>Background!Z146</f>
        <v>#DIV/0!</v>
      </c>
      <c r="K29" s="1031">
        <f>Background!AD147</f>
        <v>0</v>
      </c>
      <c r="L29" s="903"/>
      <c r="M29" s="996"/>
      <c r="N29" s="76" t="s">
        <v>718</v>
      </c>
      <c r="O29" s="1082">
        <v>4</v>
      </c>
      <c r="P29" s="1083">
        <v>4</v>
      </c>
      <c r="Q29" s="1082">
        <v>4</v>
      </c>
      <c r="R29" s="1083">
        <v>4</v>
      </c>
      <c r="S29" s="1082">
        <v>4</v>
      </c>
      <c r="T29" s="1083">
        <v>4</v>
      </c>
      <c r="U29" s="965">
        <f>HLOOKUP($N$5,$O$5:T29,25,TRUE)</f>
        <v>4</v>
      </c>
    </row>
    <row r="30" spans="2:13" ht="12" customHeight="1">
      <c r="B30" s="49"/>
      <c r="C30" s="51"/>
      <c r="D30" s="51"/>
      <c r="E30" s="92" t="s">
        <v>206</v>
      </c>
      <c r="F30" s="302"/>
      <c r="G30" s="302"/>
      <c r="H30" s="302"/>
      <c r="I30" s="302"/>
      <c r="J30" s="74"/>
      <c r="K30" s="302"/>
      <c r="L30" s="903"/>
      <c r="M30" s="996"/>
    </row>
    <row r="31" spans="2:21" ht="15.75" customHeight="1">
      <c r="B31" s="49"/>
      <c r="C31" s="51"/>
      <c r="D31" s="51"/>
      <c r="E31" s="90"/>
      <c r="F31" s="231" t="s">
        <v>207</v>
      </c>
      <c r="G31" s="925" t="s">
        <v>601</v>
      </c>
      <c r="H31" s="926"/>
      <c r="I31" s="307" t="e">
        <f>Background!V152</f>
        <v>#DIV/0!</v>
      </c>
      <c r="J31" s="156"/>
      <c r="K31" s="1032">
        <f>U31</f>
        <v>32.5</v>
      </c>
      <c r="L31" s="904"/>
      <c r="M31" s="1007"/>
      <c r="N31" s="84" t="s">
        <v>645</v>
      </c>
      <c r="O31" s="964">
        <v>30</v>
      </c>
      <c r="P31" s="1065">
        <v>32.5</v>
      </c>
      <c r="Q31" s="964">
        <v>35</v>
      </c>
      <c r="R31" s="1065">
        <v>32.5</v>
      </c>
      <c r="S31" s="964">
        <v>35</v>
      </c>
      <c r="T31" s="1065">
        <v>40</v>
      </c>
      <c r="U31" s="965">
        <f>HLOOKUP(N5,$O$5:T32,27,TRUE)</f>
        <v>32.5</v>
      </c>
    </row>
    <row r="32" spans="2:21" ht="15.75" customHeight="1">
      <c r="B32" s="49"/>
      <c r="C32" s="51"/>
      <c r="D32" s="51"/>
      <c r="E32" s="90"/>
      <c r="F32" s="310"/>
      <c r="G32" s="875" t="s">
        <v>602</v>
      </c>
      <c r="H32" s="927"/>
      <c r="I32" s="308" t="e">
        <f>Background!V153</f>
        <v>#DIV/0!</v>
      </c>
      <c r="J32" s="149"/>
      <c r="K32" s="1033">
        <f>U32</f>
        <v>60</v>
      </c>
      <c r="L32" s="903"/>
      <c r="M32" s="996"/>
      <c r="N32" s="76" t="s">
        <v>646</v>
      </c>
      <c r="O32" s="966">
        <v>55</v>
      </c>
      <c r="P32" s="1063">
        <v>60</v>
      </c>
      <c r="Q32" s="966">
        <v>65</v>
      </c>
      <c r="R32" s="1063">
        <v>60</v>
      </c>
      <c r="S32" s="966">
        <v>65</v>
      </c>
      <c r="T32" s="1063">
        <v>70</v>
      </c>
      <c r="U32" s="965">
        <f>HLOOKUP(N5,$O$5:T33,28,TRUE)</f>
        <v>60</v>
      </c>
    </row>
    <row r="33" spans="2:21" ht="15.75" customHeight="1">
      <c r="B33" s="892"/>
      <c r="C33" s="893"/>
      <c r="D33" s="894"/>
      <c r="E33" s="90"/>
      <c r="F33" s="891"/>
      <c r="G33" s="929" t="s">
        <v>623</v>
      </c>
      <c r="H33" s="928"/>
      <c r="I33" s="979">
        <f>Expenses!J16</f>
        <v>0</v>
      </c>
      <c r="J33" s="987">
        <f>Background!Z159</f>
        <v>0</v>
      </c>
      <c r="K33" s="1034">
        <f>Background!AD152</f>
        <v>0</v>
      </c>
      <c r="L33" s="903"/>
      <c r="M33" s="996"/>
      <c r="N33" s="76" t="s">
        <v>647</v>
      </c>
      <c r="O33" s="967">
        <v>1.4</v>
      </c>
      <c r="P33" s="1064">
        <v>1.5</v>
      </c>
      <c r="Q33" s="967">
        <v>1.6</v>
      </c>
      <c r="R33" s="1064">
        <v>1.6</v>
      </c>
      <c r="S33" s="967">
        <v>1.7</v>
      </c>
      <c r="T33" s="1064">
        <v>1.8</v>
      </c>
      <c r="U33" s="963">
        <f>HLOOKUP(N5,$O$5:T34,29,TRUE)</f>
        <v>1.5</v>
      </c>
    </row>
    <row r="34" spans="2:20" ht="6.75" customHeight="1">
      <c r="B34" s="892"/>
      <c r="C34" s="893"/>
      <c r="D34" s="893"/>
      <c r="E34" s="49"/>
      <c r="F34" s="894"/>
      <c r="G34" s="894"/>
      <c r="H34" s="896"/>
      <c r="I34" s="897"/>
      <c r="J34" s="897"/>
      <c r="K34" s="897"/>
      <c r="L34" s="903"/>
      <c r="M34" s="996"/>
      <c r="P34" s="1061"/>
      <c r="Q34" s="1061"/>
      <c r="R34" s="1061"/>
      <c r="S34" s="1061"/>
      <c r="T34" s="1061"/>
    </row>
    <row r="35" spans="2:21" ht="15.75" customHeight="1">
      <c r="B35" s="892"/>
      <c r="C35" s="893"/>
      <c r="D35" s="893"/>
      <c r="E35" s="49"/>
      <c r="F35" s="898" t="s">
        <v>621</v>
      </c>
      <c r="G35" s="1162" t="s">
        <v>622</v>
      </c>
      <c r="H35" s="1163"/>
      <c r="I35" s="899">
        <f>Background!Q77</f>
        <v>0</v>
      </c>
      <c r="J35" s="900"/>
      <c r="K35" s="1035">
        <f>Background!AD162</f>
        <v>0</v>
      </c>
      <c r="L35" s="903"/>
      <c r="M35" s="996"/>
      <c r="N35" s="76" t="s">
        <v>648</v>
      </c>
      <c r="O35" s="967">
        <v>1.2</v>
      </c>
      <c r="P35" s="1064">
        <v>1.3</v>
      </c>
      <c r="Q35" s="967">
        <v>1.4</v>
      </c>
      <c r="R35" s="1064">
        <v>1.4</v>
      </c>
      <c r="S35" s="967">
        <v>1.5</v>
      </c>
      <c r="T35" s="1064">
        <v>1.6</v>
      </c>
      <c r="U35" s="963">
        <f>HLOOKUP(N5,$O$5:T36,31,TRUE)</f>
        <v>1.3</v>
      </c>
    </row>
    <row r="36" spans="2:20" ht="6.75" customHeight="1">
      <c r="B36" s="892"/>
      <c r="C36" s="893"/>
      <c r="D36" s="893"/>
      <c r="E36" s="92"/>
      <c r="F36" s="894"/>
      <c r="G36" s="894"/>
      <c r="H36" s="896"/>
      <c r="I36" s="897"/>
      <c r="J36" s="897"/>
      <c r="K36" s="897"/>
      <c r="L36" s="903"/>
      <c r="M36" s="996"/>
      <c r="P36" s="1061"/>
      <c r="Q36" s="1061"/>
      <c r="R36" s="1061"/>
      <c r="S36" s="1061"/>
      <c r="T36" s="1061"/>
    </row>
    <row r="37" spans="2:21" ht="15.75" customHeight="1">
      <c r="B37" s="892"/>
      <c r="C37" s="893"/>
      <c r="D37" s="893"/>
      <c r="E37" s="49"/>
      <c r="F37" s="898" t="s">
        <v>210</v>
      </c>
      <c r="G37" s="1162" t="s">
        <v>627</v>
      </c>
      <c r="H37" s="1163"/>
      <c r="I37" s="978" t="e">
        <f>Expenses!J61-Expenses!J36-Expenses!J16-Expenses!J49+Expenses!J34</f>
        <v>#DIV/0!</v>
      </c>
      <c r="J37" s="980"/>
      <c r="K37" s="1036">
        <f>Background!AD176</f>
        <v>0</v>
      </c>
      <c r="L37" s="903"/>
      <c r="M37" s="996"/>
      <c r="N37" s="76" t="s">
        <v>649</v>
      </c>
      <c r="O37" s="966">
        <v>14</v>
      </c>
      <c r="P37" s="1063">
        <v>15</v>
      </c>
      <c r="Q37" s="966">
        <v>16</v>
      </c>
      <c r="R37" s="1063">
        <v>18</v>
      </c>
      <c r="S37" s="966">
        <v>20</v>
      </c>
      <c r="T37" s="1063">
        <v>22</v>
      </c>
      <c r="U37" s="965">
        <f>HLOOKUP(N5,$O$5:T38,33,TRUE)</f>
        <v>15</v>
      </c>
    </row>
    <row r="38" spans="2:20" ht="6.75" customHeight="1">
      <c r="B38" s="892"/>
      <c r="C38" s="893"/>
      <c r="D38" s="893"/>
      <c r="E38" s="49"/>
      <c r="F38" s="894"/>
      <c r="G38" s="894"/>
      <c r="H38" s="896"/>
      <c r="I38" s="981"/>
      <c r="J38" s="981"/>
      <c r="K38" s="981"/>
      <c r="L38" s="903"/>
      <c r="M38" s="996"/>
      <c r="P38" s="1061"/>
      <c r="Q38" s="1061"/>
      <c r="R38" s="1061"/>
      <c r="S38" s="1061"/>
      <c r="T38" s="1061"/>
    </row>
    <row r="39" spans="2:21" ht="15.75" customHeight="1">
      <c r="B39" s="892"/>
      <c r="C39" s="893"/>
      <c r="D39" s="893"/>
      <c r="E39" s="49"/>
      <c r="F39" s="87" t="s">
        <v>22</v>
      </c>
      <c r="G39" s="1177" t="s">
        <v>212</v>
      </c>
      <c r="H39" s="1177"/>
      <c r="I39" s="959">
        <f>Equipment!I17</f>
        <v>0</v>
      </c>
      <c r="J39" s="982"/>
      <c r="K39" s="1028">
        <f>Background!AD192</f>
        <v>0</v>
      </c>
      <c r="L39" s="903"/>
      <c r="M39" s="996"/>
      <c r="N39" s="76" t="s">
        <v>650</v>
      </c>
      <c r="O39" s="966">
        <v>26</v>
      </c>
      <c r="P39" s="1063">
        <v>27</v>
      </c>
      <c r="Q39" s="966">
        <v>28</v>
      </c>
      <c r="R39" s="1063">
        <v>30</v>
      </c>
      <c r="S39" s="966">
        <v>40</v>
      </c>
      <c r="T39" s="1063">
        <v>50</v>
      </c>
      <c r="U39" s="965">
        <f>HLOOKUP(N5,$O$5:T40,35,TRUE)</f>
        <v>27</v>
      </c>
    </row>
    <row r="40" spans="2:21" ht="15.75" customHeight="1">
      <c r="B40" s="892"/>
      <c r="C40" s="893"/>
      <c r="D40" s="893"/>
      <c r="E40" s="49"/>
      <c r="F40" s="130"/>
      <c r="G40" s="1160" t="s">
        <v>213</v>
      </c>
      <c r="H40" s="1160"/>
      <c r="I40" s="976">
        <f>Equipment!I29</f>
        <v>0</v>
      </c>
      <c r="J40" s="983"/>
      <c r="K40" s="1037">
        <f>Background!AD193</f>
        <v>0</v>
      </c>
      <c r="L40" s="903"/>
      <c r="M40" s="996"/>
      <c r="N40" s="76" t="s">
        <v>713</v>
      </c>
      <c r="O40" s="140">
        <v>1000</v>
      </c>
      <c r="P40" s="1062">
        <v>1000</v>
      </c>
      <c r="Q40" s="140">
        <v>1000</v>
      </c>
      <c r="R40" s="1062">
        <v>1000</v>
      </c>
      <c r="S40" s="140">
        <v>1000</v>
      </c>
      <c r="T40" s="1062">
        <v>1000</v>
      </c>
      <c r="U40" s="965">
        <f>HLOOKUP(N5,$O$5:T60,36,TRUE)</f>
        <v>1000</v>
      </c>
    </row>
    <row r="41" spans="2:21" ht="15.75" customHeight="1">
      <c r="B41" s="892"/>
      <c r="C41" s="893"/>
      <c r="D41" s="893"/>
      <c r="E41" s="49"/>
      <c r="F41" s="123"/>
      <c r="G41" s="1161" t="s">
        <v>111</v>
      </c>
      <c r="H41" s="1161"/>
      <c r="I41" s="984">
        <f>Equipment!I36</f>
        <v>0</v>
      </c>
      <c r="J41" s="985"/>
      <c r="K41" s="1038">
        <f>Background!AD194</f>
        <v>0</v>
      </c>
      <c r="L41" s="913"/>
      <c r="M41" s="1008"/>
      <c r="N41" s="41" t="s">
        <v>709</v>
      </c>
      <c r="O41" s="140">
        <v>15</v>
      </c>
      <c r="P41" s="1062">
        <v>15</v>
      </c>
      <c r="Q41" s="140">
        <v>15</v>
      </c>
      <c r="R41" s="1062">
        <v>15</v>
      </c>
      <c r="S41" s="140">
        <v>15</v>
      </c>
      <c r="T41" s="1062">
        <v>15</v>
      </c>
      <c r="U41" s="965">
        <f>HLOOKUP(N5,$O$5:T42,37,TRUE)</f>
        <v>15</v>
      </c>
    </row>
    <row r="42" spans="2:13" ht="3" customHeight="1">
      <c r="B42" s="892"/>
      <c r="C42" s="893"/>
      <c r="D42" s="893"/>
      <c r="E42" s="49"/>
      <c r="F42" s="1048"/>
      <c r="G42" s="1047"/>
      <c r="H42" s="1047"/>
      <c r="I42" s="1050"/>
      <c r="J42" s="1051"/>
      <c r="K42" s="1052"/>
      <c r="L42" s="76"/>
      <c r="M42" s="1008"/>
    </row>
    <row r="43" spans="2:21" ht="30" customHeight="1">
      <c r="B43" s="892"/>
      <c r="C43" s="916"/>
      <c r="D43" s="916"/>
      <c r="E43" s="49"/>
      <c r="F43" s="51"/>
      <c r="G43" s="51"/>
      <c r="H43" s="102"/>
      <c r="I43" s="1049"/>
      <c r="J43" s="1049"/>
      <c r="K43" s="1049"/>
      <c r="L43" s="903"/>
      <c r="M43" s="996"/>
      <c r="N43" s="41" t="s">
        <v>710</v>
      </c>
      <c r="O43" s="140">
        <v>75</v>
      </c>
      <c r="P43" s="1062">
        <v>80</v>
      </c>
      <c r="Q43" s="140">
        <v>85</v>
      </c>
      <c r="R43" s="1062">
        <v>80</v>
      </c>
      <c r="S43" s="140">
        <v>85</v>
      </c>
      <c r="T43" s="1062">
        <v>90</v>
      </c>
      <c r="U43" s="965">
        <f>HLOOKUP(N5,$O$5:T44,39,TRUE)</f>
        <v>80</v>
      </c>
    </row>
    <row r="44" spans="2:21" ht="21.75" customHeight="1" thickBot="1">
      <c r="B44" s="892"/>
      <c r="C44" s="895"/>
      <c r="D44" s="917"/>
      <c r="E44" s="72"/>
      <c r="F44" s="74"/>
      <c r="G44" s="1157" t="s">
        <v>215</v>
      </c>
      <c r="H44" s="1157"/>
      <c r="I44" s="315" t="e">
        <f>Snapshot!E148</f>
        <v>#DIV/0!</v>
      </c>
      <c r="J44" s="315" t="e">
        <f>Background!Y67</f>
        <v>#DIV/0!</v>
      </c>
      <c r="K44" s="315" t="e">
        <f>Background!AC67</f>
        <v>#DIV/0!</v>
      </c>
      <c r="L44" s="903"/>
      <c r="M44" s="997"/>
      <c r="N44" s="41" t="s">
        <v>711</v>
      </c>
      <c r="O44" s="140">
        <v>75</v>
      </c>
      <c r="P44" s="1062">
        <v>82.5</v>
      </c>
      <c r="Q44" s="140">
        <v>90</v>
      </c>
      <c r="R44" s="1062">
        <v>82.5</v>
      </c>
      <c r="S44" s="140">
        <v>90</v>
      </c>
      <c r="T44" s="1062">
        <v>100</v>
      </c>
      <c r="U44" s="965">
        <f>HLOOKUP(N5,$O$5:T45,40,TRUE)</f>
        <v>82.5</v>
      </c>
    </row>
    <row r="45" spans="2:21" ht="40.5" customHeight="1">
      <c r="B45" s="136"/>
      <c r="C45" s="1135" t="s">
        <v>100</v>
      </c>
      <c r="D45" s="1135"/>
      <c r="E45" s="1135"/>
      <c r="F45" s="1135"/>
      <c r="G45" s="1135"/>
      <c r="H45" s="1135"/>
      <c r="I45" s="1135"/>
      <c r="J45" s="1135"/>
      <c r="K45" s="1135"/>
      <c r="L45" s="903"/>
      <c r="M45" s="84"/>
      <c r="N45" s="41" t="s">
        <v>712</v>
      </c>
      <c r="O45" s="140">
        <v>9</v>
      </c>
      <c r="P45" s="1062">
        <v>9.5</v>
      </c>
      <c r="Q45" s="140">
        <v>10</v>
      </c>
      <c r="R45" s="1062">
        <v>9.5</v>
      </c>
      <c r="S45" s="140">
        <v>10</v>
      </c>
      <c r="T45" s="1062">
        <v>11</v>
      </c>
      <c r="U45" s="1078">
        <f>HLOOKUP(N5,$O$5:T56,41,TRUE)</f>
        <v>9.5</v>
      </c>
    </row>
    <row r="46" spans="12:21" ht="27.75" customHeight="1">
      <c r="L46" s="84"/>
      <c r="M46" s="84"/>
      <c r="N46" s="76" t="s">
        <v>719</v>
      </c>
      <c r="U46" s="1079"/>
    </row>
    <row r="47" spans="14:21" ht="13.5" customHeight="1">
      <c r="N47" s="76" t="s">
        <v>716</v>
      </c>
      <c r="O47" s="1084">
        <f aca="true" t="shared" si="0" ref="O47:T47">100%-O48-O49-O50-O51</f>
        <v>0.8099999999999999</v>
      </c>
      <c r="P47" s="1086">
        <f t="shared" si="0"/>
        <v>0.845</v>
      </c>
      <c r="Q47" s="1084">
        <f t="shared" si="0"/>
        <v>0.8799999999999999</v>
      </c>
      <c r="R47" s="1086">
        <f t="shared" si="0"/>
        <v>0.715</v>
      </c>
      <c r="S47" s="1084">
        <f t="shared" si="0"/>
        <v>0.6900000000000001</v>
      </c>
      <c r="T47" s="1086">
        <f t="shared" si="0"/>
        <v>0.665</v>
      </c>
      <c r="U47" s="1085">
        <f>HLOOKUP($N$5,$O$5:T58,43,TRUE)</f>
        <v>0.845</v>
      </c>
    </row>
    <row r="48" spans="11:21" ht="13.5" customHeight="1">
      <c r="K48" s="966"/>
      <c r="N48" s="76" t="s">
        <v>717</v>
      </c>
      <c r="O48" s="1084">
        <v>0.15</v>
      </c>
      <c r="P48" s="1086">
        <v>0.1</v>
      </c>
      <c r="Q48" s="1084">
        <v>0.05</v>
      </c>
      <c r="R48" s="1086">
        <v>0.1</v>
      </c>
      <c r="S48" s="1084">
        <v>0.075</v>
      </c>
      <c r="T48" s="1086">
        <v>0.05</v>
      </c>
      <c r="U48" s="1085">
        <f>HLOOKUP($N$5,$O$5:T59,44,TRUE)</f>
        <v>0.1</v>
      </c>
    </row>
    <row r="49" spans="14:21" ht="13.5" customHeight="1">
      <c r="N49" s="76" t="s">
        <v>720</v>
      </c>
      <c r="O49" s="1084">
        <v>0.01</v>
      </c>
      <c r="P49" s="1086">
        <v>0.01</v>
      </c>
      <c r="Q49" s="1084">
        <v>0.01</v>
      </c>
      <c r="R49" s="1086">
        <v>0.01</v>
      </c>
      <c r="S49" s="1084">
        <v>0.01</v>
      </c>
      <c r="T49" s="1086">
        <v>0.01</v>
      </c>
      <c r="U49" s="1085">
        <f>HLOOKUP($N$5,$O$5:T60,45,TRUE)</f>
        <v>0.01</v>
      </c>
    </row>
    <row r="50" spans="14:21" ht="13.5" customHeight="1">
      <c r="N50" s="76" t="s">
        <v>723</v>
      </c>
      <c r="O50" s="1084">
        <v>0.01</v>
      </c>
      <c r="P50" s="1086">
        <v>0.015</v>
      </c>
      <c r="Q50" s="1084">
        <v>0.02</v>
      </c>
      <c r="R50" s="1086">
        <v>0.05</v>
      </c>
      <c r="S50" s="1084">
        <v>0.075</v>
      </c>
      <c r="T50" s="1086">
        <v>0.1</v>
      </c>
      <c r="U50" s="1085">
        <f>HLOOKUP($N$5,$O$5:T61,46,TRUE)</f>
        <v>0.015</v>
      </c>
    </row>
    <row r="51" spans="14:21" ht="13.5" customHeight="1">
      <c r="N51" s="76" t="s">
        <v>722</v>
      </c>
      <c r="O51" s="1084">
        <v>0.02</v>
      </c>
      <c r="P51" s="1086">
        <v>0.03</v>
      </c>
      <c r="Q51" s="1084">
        <v>0.04</v>
      </c>
      <c r="R51" s="1086">
        <v>0.125</v>
      </c>
      <c r="S51" s="1084">
        <v>0.15</v>
      </c>
      <c r="T51" s="1086">
        <v>0.175</v>
      </c>
      <c r="U51" s="1085">
        <f>HLOOKUP($N$5,$O$5:T62,47,TRUE)</f>
        <v>0.03</v>
      </c>
    </row>
    <row r="52" spans="14:21" ht="13.5" customHeight="1">
      <c r="N52" s="76" t="s">
        <v>608</v>
      </c>
      <c r="O52" s="1084">
        <v>0.025</v>
      </c>
      <c r="P52" s="1086">
        <v>0.03</v>
      </c>
      <c r="Q52" s="1084">
        <v>0.035</v>
      </c>
      <c r="R52" s="1086">
        <v>0.06</v>
      </c>
      <c r="S52" s="1084">
        <v>0.075</v>
      </c>
      <c r="T52" s="1086">
        <v>0.09</v>
      </c>
      <c r="U52" s="1085">
        <f>HLOOKUP($N$5,$O$5:T63,48,TRUE)</f>
        <v>0.03</v>
      </c>
    </row>
    <row r="53" spans="14:21" ht="13.5" customHeight="1">
      <c r="N53" s="76" t="s">
        <v>609</v>
      </c>
      <c r="O53" s="1084">
        <v>0.025</v>
      </c>
      <c r="P53" s="1086">
        <v>0.03</v>
      </c>
      <c r="Q53" s="1084">
        <v>0.035</v>
      </c>
      <c r="R53" s="1086">
        <v>0.06</v>
      </c>
      <c r="S53" s="1084">
        <v>0.075</v>
      </c>
      <c r="T53" s="1086">
        <v>0.09</v>
      </c>
      <c r="U53" s="1085">
        <f>HLOOKUP($N$5,$O$5:T64,49,TRUE)</f>
        <v>0.03</v>
      </c>
    </row>
    <row r="54" spans="14:20" ht="13.5" customHeight="1">
      <c r="N54" s="76"/>
      <c r="O54" s="1084"/>
      <c r="P54" s="1084"/>
      <c r="Q54" s="1084"/>
      <c r="R54" s="1084"/>
      <c r="S54" s="1084"/>
      <c r="T54" s="1084"/>
    </row>
    <row r="55" ht="13.5" customHeight="1"/>
    <row r="56" spans="14:16" ht="14.25">
      <c r="N56" s="311" t="s">
        <v>208</v>
      </c>
      <c r="O56" s="312">
        <f>(FarmData!H5*(Targets!J12+Targets!J13))+(FarmData!H5*Snapshot!H101)</f>
        <v>0</v>
      </c>
      <c r="P56" s="41"/>
    </row>
    <row r="57" spans="14:18" ht="12.75">
      <c r="N57" s="84" t="s">
        <v>626</v>
      </c>
      <c r="O57" s="313">
        <f>Background!AF127</f>
        <v>0</v>
      </c>
      <c r="P57" s="912" t="e">
        <f>O57/FarmData!H8</f>
        <v>#DIV/0!</v>
      </c>
      <c r="Q57" s="140" t="s">
        <v>390</v>
      </c>
      <c r="R57" s="912" t="e">
        <f>Snapshot!E112-P57</f>
        <v>#DIV/0!</v>
      </c>
    </row>
    <row r="58" spans="14:16" ht="12.75">
      <c r="N58" s="84" t="s">
        <v>528</v>
      </c>
      <c r="O58" s="313">
        <f>Background!AD127</f>
        <v>0</v>
      </c>
      <c r="P58" s="912" t="e">
        <f>O58/FarmData!H9</f>
        <v>#DIV/0!</v>
      </c>
    </row>
    <row r="59" spans="14:15" ht="12.75">
      <c r="N59" s="41" t="s">
        <v>209</v>
      </c>
      <c r="O59" s="313" t="e">
        <f>Background!AD81</f>
        <v>#DIV/0!</v>
      </c>
    </row>
    <row r="61" ht="12.75">
      <c r="N61" s="41" t="s">
        <v>214</v>
      </c>
    </row>
    <row r="62" ht="12.75">
      <c r="N62" s="314">
        <f>(Snapshot!H93+((Reports!D21+Reports!J21)/2))</f>
        <v>0</v>
      </c>
    </row>
  </sheetData>
  <sheetProtection password="DEBF" sheet="1"/>
  <mergeCells count="29">
    <mergeCell ref="G39:H39"/>
    <mergeCell ref="G35:H35"/>
    <mergeCell ref="G25:H25"/>
    <mergeCell ref="G26:H26"/>
    <mergeCell ref="G27:H27"/>
    <mergeCell ref="G28:H28"/>
    <mergeCell ref="G29:H29"/>
    <mergeCell ref="G15:H15"/>
    <mergeCell ref="G12:H12"/>
    <mergeCell ref="G11:H11"/>
    <mergeCell ref="G17:H17"/>
    <mergeCell ref="G20:H20"/>
    <mergeCell ref="G21:H21"/>
    <mergeCell ref="E2:I5"/>
    <mergeCell ref="J2:K5"/>
    <mergeCell ref="G10:H10"/>
    <mergeCell ref="C9:C10"/>
    <mergeCell ref="C12:C13"/>
    <mergeCell ref="G13:H13"/>
    <mergeCell ref="C45:K45"/>
    <mergeCell ref="G44:H44"/>
    <mergeCell ref="C16:C17"/>
    <mergeCell ref="C19:C20"/>
    <mergeCell ref="G22:H22"/>
    <mergeCell ref="G23:H23"/>
    <mergeCell ref="G24:H24"/>
    <mergeCell ref="G40:H40"/>
    <mergeCell ref="G41:H41"/>
    <mergeCell ref="G37:H37"/>
  </mergeCells>
  <conditionalFormatting sqref="K37 K35 K31:K33 K15 K17 K10:K13 K39:K41 K20:K29">
    <cfRule type="expression" priority="18" dxfId="12" stopIfTrue="1">
      <formula>LEN(TRIM(K10))=0</formula>
    </cfRule>
  </conditionalFormatting>
  <conditionalFormatting sqref="J15 J17">
    <cfRule type="expression" priority="19" dxfId="12" stopIfTrue="1">
      <formula>LEN(J15)=0</formula>
    </cfRule>
  </conditionalFormatting>
  <conditionalFormatting sqref="I43">
    <cfRule type="expression" priority="22" dxfId="14">
      <formula>I44&gt;16</formula>
    </cfRule>
    <cfRule type="expression" priority="23" dxfId="15">
      <formula>I44&gt;10</formula>
    </cfRule>
    <cfRule type="expression" priority="24" dxfId="16">
      <formula>I44&gt;4</formula>
    </cfRule>
  </conditionalFormatting>
  <conditionalFormatting sqref="J37 J35 J31:J33 J29">
    <cfRule type="expression" priority="31" dxfId="7" stopIfTrue="1">
      <formula>LEN(J29)=0</formula>
    </cfRule>
  </conditionalFormatting>
  <conditionalFormatting sqref="J43:K43">
    <cfRule type="expression" priority="4" dxfId="14">
      <formula>J44&gt;16</formula>
    </cfRule>
    <cfRule type="expression" priority="5" dxfId="15">
      <formula>J44&gt;10</formula>
    </cfRule>
    <cfRule type="expression" priority="6" dxfId="16">
      <formula>J44&gt;4</formula>
    </cfRule>
  </conditionalFormatting>
  <conditionalFormatting sqref="J10:J13">
    <cfRule type="expression" priority="3" dxfId="7" stopIfTrue="1">
      <formula>LEN(J10)=0</formula>
    </cfRule>
  </conditionalFormatting>
  <conditionalFormatting sqref="J20:J28">
    <cfRule type="expression" priority="2" dxfId="7" stopIfTrue="1">
      <formula>LEN(J20)=0</formula>
    </cfRule>
  </conditionalFormatting>
  <conditionalFormatting sqref="J39:J41">
    <cfRule type="expression" priority="1" dxfId="7" stopIfTrue="1">
      <formula>LEN(J39)=0</formula>
    </cfRule>
  </conditionalFormatting>
  <hyperlinks>
    <hyperlink ref="C19" location="Menu!E3" display="   Menu   "/>
    <hyperlink ref="C9" location="Snapshot!C84" display="     Next     "/>
    <hyperlink ref="C12" location="Expenses!E3" display="     Back     "/>
  </hyperlinks>
  <printOptions/>
  <pageMargins left="0.7" right="0.7" top="0.75" bottom="0.75" header="0.5118055555555555" footer="0.5118055555555555"/>
  <pageSetup horizontalDpi="300" verticalDpi="300" orientation="portrait" scale="54" r:id="rId4"/>
  <colBreaks count="1" manualBreakCount="1">
    <brk id="11" max="65535" man="1"/>
  </colBreaks>
  <drawing r:id="rId3"/>
  <legacyDrawing r:id="rId2"/>
</worksheet>
</file>

<file path=xl/worksheets/sheet8.xml><?xml version="1.0" encoding="utf-8"?>
<worksheet xmlns="http://schemas.openxmlformats.org/spreadsheetml/2006/main" xmlns:r="http://schemas.openxmlformats.org/officeDocument/2006/relationships">
  <dimension ref="B2:AI154"/>
  <sheetViews>
    <sheetView showGridLines="0" showRowColHeaders="0" zoomScale="80" zoomScaleNormal="80" zoomScaleSheetLayoutView="100" zoomScalePageLayoutView="0" workbookViewId="0" topLeftCell="A76">
      <selection activeCell="L151" sqref="L151:M153"/>
    </sheetView>
  </sheetViews>
  <sheetFormatPr defaultColWidth="6.28125" defaultRowHeight="12.75"/>
  <cols>
    <col min="1" max="1" width="1.28515625" style="316" customWidth="1"/>
    <col min="2" max="2" width="0.9921875" style="316" customWidth="1"/>
    <col min="3" max="3" width="15.140625" style="316" customWidth="1"/>
    <col min="4" max="4" width="19.28125" style="316" customWidth="1"/>
    <col min="5" max="5" width="10.8515625" style="316" customWidth="1"/>
    <col min="6" max="6" width="1.7109375" style="316" customWidth="1"/>
    <col min="7" max="10" width="7.7109375" style="317" customWidth="1"/>
    <col min="11" max="11" width="2.140625" style="316" customWidth="1"/>
    <col min="12" max="12" width="10.8515625" style="316" customWidth="1"/>
    <col min="13" max="13" width="1.57421875" style="316" customWidth="1"/>
    <col min="14" max="14" width="14.7109375" style="318" customWidth="1"/>
    <col min="15" max="15" width="1.1484375" style="316" customWidth="1"/>
    <col min="16" max="16" width="10.00390625" style="316" customWidth="1"/>
    <col min="17" max="17" width="22.00390625" style="316" customWidth="1"/>
    <col min="18" max="19" width="6.28125" style="316" customWidth="1"/>
    <col min="20" max="20" width="13.8515625" style="316" hidden="1" customWidth="1"/>
    <col min="21" max="32" width="6.28125" style="316" hidden="1" customWidth="1"/>
    <col min="33" max="16384" width="6.28125" style="316" customWidth="1"/>
  </cols>
  <sheetData>
    <row r="1" ht="12.75" customHeight="1" hidden="1"/>
    <row r="2" spans="14:24" ht="21" customHeight="1" hidden="1">
      <c r="N2" s="318" t="s">
        <v>216</v>
      </c>
      <c r="P2" s="319" t="s">
        <v>217</v>
      </c>
      <c r="Q2" s="319" t="s">
        <v>218</v>
      </c>
      <c r="R2" s="319" t="s">
        <v>219</v>
      </c>
      <c r="T2" s="320" t="s">
        <v>220</v>
      </c>
      <c r="U2" s="320" t="s">
        <v>221</v>
      </c>
      <c r="V2" s="320" t="s">
        <v>222</v>
      </c>
      <c r="W2" s="320" t="s">
        <v>223</v>
      </c>
      <c r="X2" s="320" t="s">
        <v>224</v>
      </c>
    </row>
    <row r="3" spans="5:24" ht="21" customHeight="1" hidden="1">
      <c r="E3" s="319" t="s">
        <v>225</v>
      </c>
      <c r="G3" s="321">
        <v>0</v>
      </c>
      <c r="H3" s="321">
        <f>I3-(N4*P4)</f>
        <v>1.669625</v>
      </c>
      <c r="I3" s="321">
        <f>N4-(N4*P4/2)</f>
        <v>1.7598749999999999</v>
      </c>
      <c r="J3" s="321">
        <f>I3+(N4*P4)</f>
        <v>1.8501249999999998</v>
      </c>
      <c r="K3" s="322">
        <f>J3+(N4*P4)</f>
        <v>1.9403749999999997</v>
      </c>
      <c r="T3" s="323" t="s">
        <v>226</v>
      </c>
      <c r="U3" s="324" t="e">
        <f>Expenses!J61</f>
        <v>#DIV/0!</v>
      </c>
      <c r="V3" s="324" t="e">
        <f>U3/((FarmData!H5+FarmData!L5)/2)</f>
        <v>#DIV/0!</v>
      </c>
      <c r="W3" s="324" t="e">
        <f>U3/Reports!$I$22</f>
        <v>#DIV/0!</v>
      </c>
      <c r="X3" s="324" t="e">
        <f>U3/(FarmData!$H$17-FarmData!$H$20)</f>
        <v>#DIV/0!</v>
      </c>
    </row>
    <row r="4" spans="5:24" ht="21" customHeight="1" hidden="1">
      <c r="E4" s="319" t="s">
        <v>227</v>
      </c>
      <c r="G4" s="325">
        <v>1</v>
      </c>
      <c r="H4" s="325">
        <v>2</v>
      </c>
      <c r="I4" s="325">
        <v>3</v>
      </c>
      <c r="J4" s="325">
        <v>4</v>
      </c>
      <c r="K4" s="140">
        <v>5</v>
      </c>
      <c r="N4" s="326">
        <f>L106</f>
        <v>1.805</v>
      </c>
      <c r="P4" s="327">
        <v>0.05</v>
      </c>
      <c r="Q4" s="328" t="e">
        <f>E106</f>
        <v>#DIV/0!</v>
      </c>
      <c r="R4" s="140" t="e">
        <f>HLOOKUP(Q4,G3:K4,2,TRUE)</f>
        <v>#DIV/0!</v>
      </c>
      <c r="T4" s="323" t="s">
        <v>228</v>
      </c>
      <c r="U4" s="324">
        <f>Income!J20</f>
        <v>0</v>
      </c>
      <c r="V4" s="324" t="e">
        <f>U4/((FarmData!H5+FarmData!L5)/2)</f>
        <v>#DIV/0!</v>
      </c>
      <c r="W4" s="324" t="e">
        <f>U4/Reports!$I$22</f>
        <v>#DIV/0!</v>
      </c>
      <c r="X4" s="324" t="e">
        <f>U4/(FarmData!$H$17-FarmData!$H$20)</f>
        <v>#DIV/0!</v>
      </c>
    </row>
    <row r="5" spans="14:24" ht="21" customHeight="1" hidden="1">
      <c r="N5" s="318" t="s">
        <v>216</v>
      </c>
      <c r="P5" s="319" t="s">
        <v>217</v>
      </c>
      <c r="Q5" s="319" t="s">
        <v>218</v>
      </c>
      <c r="R5" s="319" t="s">
        <v>219</v>
      </c>
      <c r="T5" s="329" t="s">
        <v>229</v>
      </c>
      <c r="U5" s="330" t="e">
        <f>Background!Q67</f>
        <v>#DIV/0!</v>
      </c>
      <c r="V5" s="330" t="e">
        <f>U5/((FarmData!H5+FarmData!L5)/2)</f>
        <v>#DIV/0!</v>
      </c>
      <c r="W5" s="330" t="e">
        <f>U5/Reports!$I$22</f>
        <v>#DIV/0!</v>
      </c>
      <c r="X5" s="330" t="e">
        <f>U5/(FarmData!$H$17-FarmData!$H$20)</f>
        <v>#DIV/0!</v>
      </c>
    </row>
    <row r="6" spans="5:24" ht="21" customHeight="1" hidden="1">
      <c r="E6" s="319" t="s">
        <v>225</v>
      </c>
      <c r="G6" s="317">
        <v>0</v>
      </c>
      <c r="H6" s="321" t="e">
        <f>I6-(N7*P7)</f>
        <v>#DIV/0!</v>
      </c>
      <c r="I6" s="321" t="e">
        <f>N7-(N7*P7/2)</f>
        <v>#DIV/0!</v>
      </c>
      <c r="J6" s="321" t="e">
        <f>I6+(N7*P7)</f>
        <v>#DIV/0!</v>
      </c>
      <c r="K6" s="322" t="e">
        <f>J6+(N7*P7)</f>
        <v>#DIV/0!</v>
      </c>
      <c r="T6" s="329" t="s">
        <v>230</v>
      </c>
      <c r="U6" s="330" t="e">
        <f>Background!Q68</f>
        <v>#DIV/0!</v>
      </c>
      <c r="V6" s="330" t="e">
        <f>U6/((FarmData!H5+FarmData!L5)/2)</f>
        <v>#DIV/0!</v>
      </c>
      <c r="W6" s="330" t="e">
        <f>U6/Reports!$I$22</f>
        <v>#DIV/0!</v>
      </c>
      <c r="X6" s="330" t="e">
        <f>U6/(FarmData!$H$17-FarmData!$H$20)</f>
        <v>#DIV/0!</v>
      </c>
    </row>
    <row r="7" spans="5:24" ht="21" customHeight="1" hidden="1">
      <c r="E7" s="319" t="s">
        <v>231</v>
      </c>
      <c r="G7" s="317">
        <v>1</v>
      </c>
      <c r="H7" s="317">
        <v>2</v>
      </c>
      <c r="I7" s="317">
        <v>3</v>
      </c>
      <c r="J7" s="317">
        <v>4</v>
      </c>
      <c r="K7" s="316">
        <v>5</v>
      </c>
      <c r="N7" s="326" t="e">
        <f>L112</f>
        <v>#DIV/0!</v>
      </c>
      <c r="P7" s="327">
        <v>0.04</v>
      </c>
      <c r="Q7" s="328" t="e">
        <f>E112</f>
        <v>#DIV/0!</v>
      </c>
      <c r="R7" s="140" t="e">
        <f>HLOOKUP(Q7,G6:K7,2,TRUE)</f>
        <v>#DIV/0!</v>
      </c>
      <c r="T7" s="323" t="s">
        <v>232</v>
      </c>
      <c r="U7" s="324">
        <f>Background!Q90</f>
        <v>0</v>
      </c>
      <c r="V7" s="324" t="e">
        <f>U7/((FarmData!H5+FarmData!L5)/2)</f>
        <v>#DIV/0!</v>
      </c>
      <c r="W7" s="324" t="e">
        <f>U7/Reports!$I$22</f>
        <v>#DIV/0!</v>
      </c>
      <c r="X7" s="324" t="e">
        <f>U7/(FarmData!$H$17-FarmData!$H$20)</f>
        <v>#DIV/0!</v>
      </c>
    </row>
    <row r="8" spans="14:18" ht="21" customHeight="1" hidden="1">
      <c r="N8" s="318" t="s">
        <v>216</v>
      </c>
      <c r="P8" s="319" t="s">
        <v>217</v>
      </c>
      <c r="Q8" s="319" t="s">
        <v>218</v>
      </c>
      <c r="R8" s="319" t="s">
        <v>219</v>
      </c>
    </row>
    <row r="9" spans="5:11" ht="21" customHeight="1" hidden="1">
      <c r="E9" s="319" t="s">
        <v>225</v>
      </c>
      <c r="G9" s="317">
        <v>0</v>
      </c>
      <c r="H9" s="321">
        <f>I9-(N10*P10)</f>
        <v>0.077</v>
      </c>
      <c r="I9" s="321">
        <f>N10-(N10*P10/2)</f>
        <v>0.099</v>
      </c>
      <c r="J9" s="321">
        <f>I9+(N10*P10)</f>
        <v>0.12100000000000001</v>
      </c>
      <c r="K9" s="322">
        <f>J9+(N10*P10)</f>
        <v>0.14300000000000002</v>
      </c>
    </row>
    <row r="10" spans="5:18" ht="21" customHeight="1" hidden="1">
      <c r="E10" s="319" t="s">
        <v>233</v>
      </c>
      <c r="G10" s="317">
        <v>5</v>
      </c>
      <c r="H10" s="317">
        <v>4</v>
      </c>
      <c r="I10" s="317">
        <v>3</v>
      </c>
      <c r="J10" s="317">
        <v>2</v>
      </c>
      <c r="K10" s="316">
        <v>1</v>
      </c>
      <c r="N10" s="326">
        <f>L109</f>
        <v>0.11</v>
      </c>
      <c r="P10" s="327">
        <v>0.2</v>
      </c>
      <c r="Q10" s="327" t="e">
        <f>E109</f>
        <v>#DIV/0!</v>
      </c>
      <c r="R10" s="140" t="e">
        <f>HLOOKUP(Q10,G9:K10,2,TRUE)</f>
        <v>#DIV/0!</v>
      </c>
    </row>
    <row r="11" spans="14:18" ht="21" customHeight="1" hidden="1">
      <c r="N11" s="318" t="s">
        <v>216</v>
      </c>
      <c r="P11" s="319" t="s">
        <v>217</v>
      </c>
      <c r="Q11" s="319" t="s">
        <v>218</v>
      </c>
      <c r="R11" s="319" t="s">
        <v>219</v>
      </c>
    </row>
    <row r="12" spans="5:11" ht="21" customHeight="1" hidden="1">
      <c r="E12" s="319" t="s">
        <v>225</v>
      </c>
      <c r="G12" s="317">
        <v>0</v>
      </c>
      <c r="H12" s="321">
        <f>I12-(N13*P13)</f>
        <v>0</v>
      </c>
      <c r="I12" s="321">
        <f>N13-(N13*P13/2)</f>
        <v>0</v>
      </c>
      <c r="J12" s="321">
        <f>I12+(N13*P13)</f>
        <v>0</v>
      </c>
      <c r="K12" s="322">
        <f>J12+(N13*P13)</f>
        <v>0</v>
      </c>
    </row>
    <row r="13" spans="5:18" ht="21" customHeight="1" hidden="1">
      <c r="E13" s="319" t="s">
        <v>234</v>
      </c>
      <c r="G13" s="317">
        <v>5</v>
      </c>
      <c r="H13" s="317">
        <v>4</v>
      </c>
      <c r="I13" s="317">
        <v>3</v>
      </c>
      <c r="J13" s="317">
        <v>2</v>
      </c>
      <c r="K13" s="316">
        <v>1</v>
      </c>
      <c r="N13" s="326">
        <f>Targets!J13</f>
        <v>0</v>
      </c>
      <c r="P13" s="327">
        <v>0.2</v>
      </c>
      <c r="Q13" s="327" t="e">
        <f>E66</f>
        <v>#DIV/0!</v>
      </c>
      <c r="R13" s="140" t="e">
        <f>HLOOKUP(Q13,G12:K13,2,TRUE)</f>
        <v>#DIV/0!</v>
      </c>
    </row>
    <row r="14" spans="14:18" ht="21" customHeight="1" hidden="1">
      <c r="N14" s="318" t="s">
        <v>216</v>
      </c>
      <c r="P14" s="319" t="s">
        <v>217</v>
      </c>
      <c r="Q14" s="319" t="s">
        <v>218</v>
      </c>
      <c r="R14" s="319" t="s">
        <v>219</v>
      </c>
    </row>
    <row r="15" spans="5:11" ht="21" customHeight="1" hidden="1">
      <c r="E15" s="319" t="s">
        <v>225</v>
      </c>
      <c r="G15" s="317">
        <v>0</v>
      </c>
      <c r="H15" s="321">
        <f>I15-(N16*P16)</f>
        <v>0</v>
      </c>
      <c r="I15" s="321">
        <f>N16-(N16*P16/2)</f>
        <v>0</v>
      </c>
      <c r="J15" s="321">
        <f>I15+(N16*P16)</f>
        <v>0</v>
      </c>
      <c r="K15" s="322">
        <f>J15+(N16*P16)</f>
        <v>0</v>
      </c>
    </row>
    <row r="16" spans="5:18" ht="21" customHeight="1" hidden="1">
      <c r="E16" s="319" t="s">
        <v>235</v>
      </c>
      <c r="G16" s="317">
        <v>5</v>
      </c>
      <c r="H16" s="317">
        <v>4</v>
      </c>
      <c r="I16" s="317">
        <v>3</v>
      </c>
      <c r="J16" s="317">
        <v>2</v>
      </c>
      <c r="K16" s="316">
        <v>1</v>
      </c>
      <c r="N16" s="326">
        <f>Targets!J15</f>
        <v>0</v>
      </c>
      <c r="P16" s="327">
        <v>0.2</v>
      </c>
      <c r="Q16" s="327" t="e">
        <f>E69</f>
        <v>#DIV/0!</v>
      </c>
      <c r="R16" s="140" t="e">
        <f>HLOOKUP(Q16,G15:K16,2,TRUE)</f>
        <v>#DIV/0!</v>
      </c>
    </row>
    <row r="17" spans="14:18" ht="21" customHeight="1" hidden="1">
      <c r="N17" s="318" t="s">
        <v>216</v>
      </c>
      <c r="P17" s="319" t="s">
        <v>217</v>
      </c>
      <c r="Q17" s="319" t="s">
        <v>218</v>
      </c>
      <c r="R17" s="319" t="s">
        <v>219</v>
      </c>
    </row>
    <row r="18" spans="5:11" ht="21" customHeight="1" hidden="1">
      <c r="E18" s="319" t="s">
        <v>225</v>
      </c>
      <c r="G18" s="317">
        <v>0</v>
      </c>
      <c r="H18" s="321" t="e">
        <f>I18-(N19*P19)</f>
        <v>#DIV/0!</v>
      </c>
      <c r="I18" s="321" t="e">
        <f>N19-(N19*P19/2)</f>
        <v>#DIV/0!</v>
      </c>
      <c r="J18" s="321" t="e">
        <f>I18+(N19*P19)</f>
        <v>#DIV/0!</v>
      </c>
      <c r="K18" s="322" t="e">
        <f>J18+(N19*P19)</f>
        <v>#DIV/0!</v>
      </c>
    </row>
    <row r="19" spans="5:18" ht="21" customHeight="1" hidden="1">
      <c r="E19" s="319" t="s">
        <v>236</v>
      </c>
      <c r="G19" s="317">
        <v>5</v>
      </c>
      <c r="H19" s="317">
        <v>4</v>
      </c>
      <c r="I19" s="317">
        <v>3</v>
      </c>
      <c r="J19" s="317">
        <v>2</v>
      </c>
      <c r="K19" s="316">
        <v>1</v>
      </c>
      <c r="N19" s="331" t="e">
        <f>L60</f>
        <v>#DIV/0!</v>
      </c>
      <c r="P19" s="327">
        <v>0.2</v>
      </c>
      <c r="Q19" s="322" t="e">
        <f>E60</f>
        <v>#DIV/0!</v>
      </c>
      <c r="R19" s="140" t="e">
        <f>HLOOKUP(Q19,G18:K19,2,TRUE)</f>
        <v>#DIV/0!</v>
      </c>
    </row>
    <row r="20" spans="14:18" ht="21" customHeight="1" hidden="1">
      <c r="N20" s="318" t="s">
        <v>216</v>
      </c>
      <c r="P20" s="319" t="s">
        <v>217</v>
      </c>
      <c r="Q20" s="319" t="s">
        <v>218</v>
      </c>
      <c r="R20" s="319" t="s">
        <v>219</v>
      </c>
    </row>
    <row r="21" spans="5:11" ht="21" customHeight="1" hidden="1">
      <c r="E21" s="319" t="s">
        <v>225</v>
      </c>
      <c r="G21" s="317">
        <v>0</v>
      </c>
      <c r="H21" s="321">
        <f>I21-(N22*P22)</f>
        <v>0</v>
      </c>
      <c r="I21" s="321">
        <f>N22-(N22*P22/2)</f>
        <v>0</v>
      </c>
      <c r="J21" s="321">
        <f>I21+(N22*P22)</f>
        <v>0</v>
      </c>
      <c r="K21" s="332">
        <f>J21+(N22*P22)</f>
        <v>0</v>
      </c>
    </row>
    <row r="22" spans="5:18" ht="21" customHeight="1" hidden="1">
      <c r="E22" s="319" t="s">
        <v>24</v>
      </c>
      <c r="G22" s="317">
        <v>1</v>
      </c>
      <c r="H22" s="317">
        <v>2</v>
      </c>
      <c r="I22" s="317">
        <v>3</v>
      </c>
      <c r="J22" s="317">
        <v>4</v>
      </c>
      <c r="K22" s="316">
        <v>5</v>
      </c>
      <c r="N22" s="331">
        <f>L72</f>
        <v>0</v>
      </c>
      <c r="P22" s="327">
        <v>0.1</v>
      </c>
      <c r="Q22" s="322">
        <f>E72</f>
        <v>0</v>
      </c>
      <c r="R22" s="140">
        <f>HLOOKUP(Q22,G21:K22,2,TRUE)</f>
        <v>5</v>
      </c>
    </row>
    <row r="23" spans="14:18" ht="21" customHeight="1" hidden="1">
      <c r="N23" s="318" t="s">
        <v>216</v>
      </c>
      <c r="P23" s="319" t="s">
        <v>217</v>
      </c>
      <c r="Q23" s="319" t="s">
        <v>218</v>
      </c>
      <c r="R23" s="319" t="s">
        <v>219</v>
      </c>
    </row>
    <row r="24" spans="5:11" ht="21" customHeight="1" hidden="1">
      <c r="E24" s="319" t="s">
        <v>225</v>
      </c>
      <c r="G24" s="317">
        <v>0</v>
      </c>
      <c r="H24" s="321" t="e">
        <f>I24-(N25*P25)</f>
        <v>#DIV/0!</v>
      </c>
      <c r="I24" s="321" t="e">
        <f>N25-(N25*P25/2)</f>
        <v>#DIV/0!</v>
      </c>
      <c r="J24" s="321" t="e">
        <f>I24+(N25*P25)</f>
        <v>#DIV/0!</v>
      </c>
      <c r="K24" s="332" t="e">
        <f>J24+(N25*P25)</f>
        <v>#DIV/0!</v>
      </c>
    </row>
    <row r="25" spans="5:18" ht="21" customHeight="1" hidden="1">
      <c r="E25" s="319" t="s">
        <v>237</v>
      </c>
      <c r="G25" s="317">
        <v>1</v>
      </c>
      <c r="H25" s="317">
        <v>2</v>
      </c>
      <c r="I25" s="317">
        <v>3</v>
      </c>
      <c r="J25" s="317">
        <v>4</v>
      </c>
      <c r="K25" s="316">
        <v>5</v>
      </c>
      <c r="N25" s="331" t="e">
        <f>L117</f>
        <v>#DIV/0!</v>
      </c>
      <c r="P25" s="327">
        <v>0.1</v>
      </c>
      <c r="Q25" s="322" t="e">
        <f>E117</f>
        <v>#DIV/0!</v>
      </c>
      <c r="R25" s="140" t="e">
        <f>HLOOKUP(Q25,G24:K25,2,TRUE)</f>
        <v>#DIV/0!</v>
      </c>
    </row>
    <row r="26" spans="14:18" ht="21" customHeight="1" hidden="1">
      <c r="N26" s="318" t="s">
        <v>216</v>
      </c>
      <c r="P26" s="319" t="s">
        <v>217</v>
      </c>
      <c r="Q26" s="319" t="s">
        <v>218</v>
      </c>
      <c r="R26" s="319" t="s">
        <v>219</v>
      </c>
    </row>
    <row r="27" spans="5:11" ht="21" customHeight="1" hidden="1">
      <c r="E27" s="319" t="s">
        <v>225</v>
      </c>
      <c r="G27" s="317">
        <v>0</v>
      </c>
      <c r="H27" s="321" t="e">
        <f>I27-(N28*P28)</f>
        <v>#DIV/0!</v>
      </c>
      <c r="I27" s="321" t="e">
        <f>N28-(N28*P28/2)</f>
        <v>#DIV/0!</v>
      </c>
      <c r="J27" s="321" t="e">
        <f>I27+(N28*P28)</f>
        <v>#DIV/0!</v>
      </c>
      <c r="K27" s="332" t="e">
        <f>J27+(N28*P28)</f>
        <v>#DIV/0!</v>
      </c>
    </row>
    <row r="28" spans="5:18" ht="21" customHeight="1" hidden="1">
      <c r="E28" s="319" t="s">
        <v>238</v>
      </c>
      <c r="G28" s="317">
        <v>1</v>
      </c>
      <c r="H28" s="317">
        <v>2</v>
      </c>
      <c r="I28" s="317">
        <v>3</v>
      </c>
      <c r="J28" s="317">
        <v>4</v>
      </c>
      <c r="K28" s="316">
        <v>5</v>
      </c>
      <c r="N28" s="331" t="e">
        <f>L120</f>
        <v>#DIV/0!</v>
      </c>
      <c r="P28" s="327">
        <v>0.1</v>
      </c>
      <c r="Q28" s="322" t="e">
        <f>E120</f>
        <v>#DIV/0!</v>
      </c>
      <c r="R28" s="140" t="e">
        <f>HLOOKUP(Q28,G27:K28,2,TRUE)</f>
        <v>#DIV/0!</v>
      </c>
    </row>
    <row r="29" spans="5:18" ht="21" customHeight="1" hidden="1">
      <c r="E29" s="319"/>
      <c r="N29" s="331"/>
      <c r="P29" s="327"/>
      <c r="Q29" s="322"/>
      <c r="R29" s="140"/>
    </row>
    <row r="30" spans="5:11" ht="21" customHeight="1" hidden="1">
      <c r="E30" s="319" t="s">
        <v>225</v>
      </c>
      <c r="G30" s="317">
        <v>0</v>
      </c>
      <c r="H30" s="321" t="e">
        <f>I30-(N31*P31)</f>
        <v>#DIV/0!</v>
      </c>
      <c r="I30" s="321" t="e">
        <f>N31-(N31*P31/2)</f>
        <v>#DIV/0!</v>
      </c>
      <c r="J30" s="321" t="e">
        <f>I30+(N31*P31)</f>
        <v>#DIV/0!</v>
      </c>
      <c r="K30" s="332" t="e">
        <f>J30+(N31*P31)</f>
        <v>#DIV/0!</v>
      </c>
    </row>
    <row r="31" spans="5:18" ht="21" customHeight="1" hidden="1">
      <c r="E31" s="319" t="s">
        <v>696</v>
      </c>
      <c r="G31" s="317">
        <v>1</v>
      </c>
      <c r="H31" s="317">
        <v>2</v>
      </c>
      <c r="I31" s="317">
        <v>3</v>
      </c>
      <c r="J31" s="317">
        <v>4</v>
      </c>
      <c r="K31" s="316">
        <v>5</v>
      </c>
      <c r="N31" s="331" t="e">
        <f>L123</f>
        <v>#DIV/0!</v>
      </c>
      <c r="P31" s="327">
        <v>0.1</v>
      </c>
      <c r="Q31" s="322" t="e">
        <f>E123</f>
        <v>#DIV/0!</v>
      </c>
      <c r="R31" s="140" t="e">
        <f>HLOOKUP(Q31,G30:K31,2,TRUE)</f>
        <v>#DIV/0!</v>
      </c>
    </row>
    <row r="32" spans="5:18" ht="21" customHeight="1" hidden="1">
      <c r="E32" s="319"/>
      <c r="N32" s="331"/>
      <c r="P32" s="327"/>
      <c r="Q32" s="322"/>
      <c r="R32" s="140"/>
    </row>
    <row r="33" spans="14:18" ht="21" customHeight="1" hidden="1">
      <c r="N33" s="318" t="s">
        <v>216</v>
      </c>
      <c r="P33" s="319" t="s">
        <v>217</v>
      </c>
      <c r="Q33" s="319" t="s">
        <v>218</v>
      </c>
      <c r="R33" s="319" t="s">
        <v>219</v>
      </c>
    </row>
    <row r="34" spans="5:11" ht="21" customHeight="1" hidden="1">
      <c r="E34" s="319" t="s">
        <v>225</v>
      </c>
      <c r="G34" s="317">
        <v>0</v>
      </c>
      <c r="H34" s="321" t="e">
        <f>I34-(N35*P35)</f>
        <v>#DIV/0!</v>
      </c>
      <c r="I34" s="321" t="e">
        <f>N35-(N35*P35/2)</f>
        <v>#DIV/0!</v>
      </c>
      <c r="J34" s="321" t="e">
        <f>I34+(N35*P35)</f>
        <v>#DIV/0!</v>
      </c>
      <c r="K34" s="332" t="e">
        <f>J34+(N35*P35)</f>
        <v>#DIV/0!</v>
      </c>
    </row>
    <row r="35" spans="5:18" ht="21" customHeight="1" hidden="1">
      <c r="E35" s="319" t="s">
        <v>140</v>
      </c>
      <c r="G35" s="317">
        <v>5</v>
      </c>
      <c r="H35" s="317">
        <v>4</v>
      </c>
      <c r="I35" s="317">
        <v>3</v>
      </c>
      <c r="J35" s="317">
        <v>2</v>
      </c>
      <c r="K35" s="316">
        <v>1</v>
      </c>
      <c r="N35" s="331" t="e">
        <f>L128</f>
        <v>#DIV/0!</v>
      </c>
      <c r="P35" s="327">
        <v>0.2</v>
      </c>
      <c r="Q35" s="322" t="e">
        <f>E128</f>
        <v>#DIV/0!</v>
      </c>
      <c r="R35" s="140" t="e">
        <f>HLOOKUP(Q35,G34:K35,2,TRUE)</f>
        <v>#DIV/0!</v>
      </c>
    </row>
    <row r="36" spans="14:18" ht="21" customHeight="1" hidden="1">
      <c r="N36" s="318" t="s">
        <v>216</v>
      </c>
      <c r="P36" s="319" t="s">
        <v>217</v>
      </c>
      <c r="Q36" s="319" t="s">
        <v>218</v>
      </c>
      <c r="R36" s="319" t="s">
        <v>219</v>
      </c>
    </row>
    <row r="37" spans="5:11" ht="21" customHeight="1" hidden="1">
      <c r="E37" s="319" t="s">
        <v>225</v>
      </c>
      <c r="G37" s="317">
        <v>0</v>
      </c>
      <c r="H37" s="321" t="e">
        <f>I37-(N38*P38)</f>
        <v>#DIV/0!</v>
      </c>
      <c r="I37" s="321" t="e">
        <f>N38-(N38*P38/2)</f>
        <v>#DIV/0!</v>
      </c>
      <c r="J37" s="321" t="e">
        <f>I37+(N38*P38)</f>
        <v>#DIV/0!</v>
      </c>
      <c r="K37" s="332" t="e">
        <f>J37+(N38*P38)</f>
        <v>#DIV/0!</v>
      </c>
    </row>
    <row r="38" spans="5:18" ht="21" customHeight="1" hidden="1">
      <c r="E38" s="319" t="s">
        <v>239</v>
      </c>
      <c r="G38" s="317">
        <v>5</v>
      </c>
      <c r="H38" s="317">
        <v>4</v>
      </c>
      <c r="I38" s="317">
        <v>3</v>
      </c>
      <c r="J38" s="317">
        <v>2</v>
      </c>
      <c r="K38" s="316">
        <v>1</v>
      </c>
      <c r="N38" s="331" t="e">
        <f>L134</f>
        <v>#DIV/0!</v>
      </c>
      <c r="P38" s="327">
        <v>0.2</v>
      </c>
      <c r="Q38" s="322" t="e">
        <f>E134</f>
        <v>#DIV/0!</v>
      </c>
      <c r="R38" s="140" t="e">
        <f>HLOOKUP(Q38,G37:K38,2,TRUE)</f>
        <v>#DIV/0!</v>
      </c>
    </row>
    <row r="39" spans="14:18" ht="21" customHeight="1" hidden="1">
      <c r="N39" s="318" t="s">
        <v>216</v>
      </c>
      <c r="P39" s="319" t="s">
        <v>217</v>
      </c>
      <c r="Q39" s="319" t="s">
        <v>218</v>
      </c>
      <c r="R39" s="319" t="s">
        <v>219</v>
      </c>
    </row>
    <row r="40" spans="5:11" ht="21" customHeight="1" hidden="1">
      <c r="E40" s="319" t="s">
        <v>225</v>
      </c>
      <c r="G40" s="317">
        <v>0</v>
      </c>
      <c r="H40" s="321" t="e">
        <f>I40-(N41*P41)</f>
        <v>#DIV/0!</v>
      </c>
      <c r="I40" s="321" t="e">
        <f>N41-(N41*P41/2)</f>
        <v>#DIV/0!</v>
      </c>
      <c r="J40" s="321" t="e">
        <f>I40+(N41*P41)</f>
        <v>#DIV/0!</v>
      </c>
      <c r="K40" s="332" t="e">
        <f>J40+(N41*P41)</f>
        <v>#DIV/0!</v>
      </c>
    </row>
    <row r="41" spans="5:18" ht="21" customHeight="1" hidden="1">
      <c r="E41" s="319" t="s">
        <v>240</v>
      </c>
      <c r="G41" s="317">
        <v>5</v>
      </c>
      <c r="H41" s="317">
        <v>4</v>
      </c>
      <c r="I41" s="317">
        <v>3</v>
      </c>
      <c r="J41" s="317">
        <v>2</v>
      </c>
      <c r="K41" s="316">
        <v>1</v>
      </c>
      <c r="N41" s="331" t="e">
        <f>L63</f>
        <v>#DIV/0!</v>
      </c>
      <c r="P41" s="327">
        <v>0.15</v>
      </c>
      <c r="Q41" s="322" t="e">
        <f>E63</f>
        <v>#DIV/0!</v>
      </c>
      <c r="R41" s="140" t="e">
        <f>HLOOKUP(Q41,G40:K41,2,TRUE)</f>
        <v>#DIV/0!</v>
      </c>
    </row>
    <row r="42" spans="14:18" ht="21" customHeight="1" hidden="1">
      <c r="N42" s="318" t="s">
        <v>216</v>
      </c>
      <c r="P42" s="319" t="s">
        <v>217</v>
      </c>
      <c r="Q42" s="319" t="s">
        <v>218</v>
      </c>
      <c r="R42" s="319" t="s">
        <v>219</v>
      </c>
    </row>
    <row r="43" spans="5:11" ht="21" customHeight="1" hidden="1">
      <c r="E43" s="319" t="s">
        <v>225</v>
      </c>
      <c r="G43" s="317">
        <v>-1000</v>
      </c>
      <c r="H43" s="321">
        <f>I43-(N44*P44)</f>
        <v>0.5</v>
      </c>
      <c r="I43" s="321">
        <f>N44-(N44*P44/2)</f>
        <v>3.5</v>
      </c>
      <c r="J43" s="321">
        <f>I43+(N44*P44)</f>
        <v>6.5</v>
      </c>
      <c r="K43" s="332">
        <f>J43+(N44*P44)</f>
        <v>9.5</v>
      </c>
    </row>
    <row r="44" spans="5:19" ht="21" customHeight="1" hidden="1">
      <c r="E44" s="319" t="s">
        <v>241</v>
      </c>
      <c r="G44" s="317">
        <v>1</v>
      </c>
      <c r="H44" s="317">
        <v>2</v>
      </c>
      <c r="I44" s="317">
        <v>3</v>
      </c>
      <c r="J44" s="317">
        <v>4</v>
      </c>
      <c r="K44" s="316">
        <v>5</v>
      </c>
      <c r="N44" s="331">
        <f>S45</f>
        <v>5</v>
      </c>
      <c r="P44" s="327">
        <v>0.6</v>
      </c>
      <c r="Q44" s="322" t="e">
        <f>E142</f>
        <v>#DIV/0!</v>
      </c>
      <c r="R44" s="140" t="e">
        <f>HLOOKUP(Q44,G43:K44,2,TRUE)</f>
        <v>#DIV/0!</v>
      </c>
      <c r="S44" s="316" t="s">
        <v>697</v>
      </c>
    </row>
    <row r="45" spans="14:19" ht="21" customHeight="1" hidden="1">
      <c r="N45" s="318" t="s">
        <v>216</v>
      </c>
      <c r="P45" s="319" t="s">
        <v>217</v>
      </c>
      <c r="Q45" s="319" t="s">
        <v>218</v>
      </c>
      <c r="R45" s="319" t="s">
        <v>219</v>
      </c>
      <c r="S45" s="316">
        <v>5</v>
      </c>
    </row>
    <row r="46" spans="5:11" ht="21" customHeight="1" hidden="1">
      <c r="E46" s="319" t="s">
        <v>225</v>
      </c>
      <c r="G46" s="317">
        <v>-100</v>
      </c>
      <c r="H46" s="321">
        <f>I46-(N47*P47)</f>
        <v>0.002</v>
      </c>
      <c r="I46" s="321">
        <f>N47-(N47*P47/2)</f>
        <v>0.014</v>
      </c>
      <c r="J46" s="321">
        <f>I46+(N47*P47)</f>
        <v>0.026000000000000002</v>
      </c>
      <c r="K46" s="332">
        <f>J46+(N47*P47)</f>
        <v>0.038000000000000006</v>
      </c>
    </row>
    <row r="47" spans="5:19" ht="21" customHeight="1" hidden="1">
      <c r="E47" s="319" t="s">
        <v>242</v>
      </c>
      <c r="G47" s="317">
        <v>1</v>
      </c>
      <c r="H47" s="317">
        <v>2</v>
      </c>
      <c r="I47" s="317">
        <v>3</v>
      </c>
      <c r="J47" s="317">
        <v>4</v>
      </c>
      <c r="K47" s="316">
        <v>5</v>
      </c>
      <c r="N47" s="333">
        <f>S48</f>
        <v>0.02</v>
      </c>
      <c r="P47" s="327">
        <v>0.6</v>
      </c>
      <c r="Q47" s="327" t="e">
        <f>E145</f>
        <v>#DIV/0!</v>
      </c>
      <c r="R47" s="140" t="e">
        <f>HLOOKUP(Q47,G46:K47,2,TRUE)</f>
        <v>#DIV/0!</v>
      </c>
      <c r="S47" s="316" t="s">
        <v>698</v>
      </c>
    </row>
    <row r="48" spans="14:19" ht="21" customHeight="1" hidden="1">
      <c r="N48" s="318" t="s">
        <v>216</v>
      </c>
      <c r="P48" s="319" t="s">
        <v>217</v>
      </c>
      <c r="Q48" s="319" t="s">
        <v>218</v>
      </c>
      <c r="R48" s="319" t="s">
        <v>219</v>
      </c>
      <c r="S48" s="316">
        <v>0.02</v>
      </c>
    </row>
    <row r="49" spans="5:11" ht="21" customHeight="1" hidden="1">
      <c r="E49" s="319" t="s">
        <v>225</v>
      </c>
      <c r="G49" s="317">
        <v>-100</v>
      </c>
      <c r="H49" s="321" t="e">
        <f>I49-(N50*P50)</f>
        <v>#DIV/0!</v>
      </c>
      <c r="I49" s="321" t="e">
        <f>N50-(N50*P50/2)</f>
        <v>#DIV/0!</v>
      </c>
      <c r="J49" s="321" t="e">
        <f>I49+(N50*P50)</f>
        <v>#DIV/0!</v>
      </c>
      <c r="K49" s="332" t="e">
        <f>J49+(N50*P50)</f>
        <v>#DIV/0!</v>
      </c>
    </row>
    <row r="50" spans="5:19" ht="21" customHeight="1" hidden="1">
      <c r="E50" s="319" t="s">
        <v>243</v>
      </c>
      <c r="G50" s="317">
        <v>1</v>
      </c>
      <c r="H50" s="317">
        <v>2</v>
      </c>
      <c r="I50" s="317">
        <v>3</v>
      </c>
      <c r="J50" s="317">
        <v>4</v>
      </c>
      <c r="K50" s="316">
        <v>5</v>
      </c>
      <c r="N50" s="331" t="e">
        <f>S51</f>
        <v>#DIV/0!</v>
      </c>
      <c r="P50" s="327">
        <v>0.25</v>
      </c>
      <c r="Q50" s="322" t="e">
        <f>E148</f>
        <v>#DIV/0!</v>
      </c>
      <c r="R50" s="140" t="e">
        <f>HLOOKUP(Q50,G49:K50,2,TRUE)</f>
        <v>#DIV/0!</v>
      </c>
      <c r="S50" s="316" t="s">
        <v>727</v>
      </c>
    </row>
    <row r="51" spans="14:19" ht="21" customHeight="1" hidden="1">
      <c r="N51" s="318" t="s">
        <v>216</v>
      </c>
      <c r="P51" s="319" t="s">
        <v>217</v>
      </c>
      <c r="Q51" s="319" t="s">
        <v>218</v>
      </c>
      <c r="R51" s="319" t="s">
        <v>219</v>
      </c>
      <c r="S51" s="316" t="e">
        <f>Background!Q78</f>
        <v>#DIV/0!</v>
      </c>
    </row>
    <row r="52" spans="5:11" ht="21" customHeight="1" hidden="1">
      <c r="E52" s="319" t="s">
        <v>225</v>
      </c>
      <c r="G52" s="317">
        <v>0</v>
      </c>
      <c r="H52" s="321" t="e">
        <f>I52-(N53*P53)</f>
        <v>#DIV/0!</v>
      </c>
      <c r="I52" s="321" t="e">
        <f>N53-(N53*P53/2)</f>
        <v>#DIV/0!</v>
      </c>
      <c r="J52" s="321" t="e">
        <f>I52+(N53*P53)</f>
        <v>#DIV/0!</v>
      </c>
      <c r="K52" s="332" t="e">
        <f>J52+(N53*P53)</f>
        <v>#DIV/0!</v>
      </c>
    </row>
    <row r="53" spans="5:18" ht="21" customHeight="1" hidden="1">
      <c r="E53" s="319" t="s">
        <v>244</v>
      </c>
      <c r="G53" s="317">
        <v>5</v>
      </c>
      <c r="H53" s="317">
        <v>4</v>
      </c>
      <c r="I53" s="317">
        <v>3</v>
      </c>
      <c r="J53" s="317">
        <v>2</v>
      </c>
      <c r="K53" s="316">
        <v>1</v>
      </c>
      <c r="N53" s="331" t="e">
        <f>L131</f>
        <v>#DIV/0!</v>
      </c>
      <c r="P53" s="327">
        <v>0.2</v>
      </c>
      <c r="Q53" s="322" t="e">
        <f>E131</f>
        <v>#DIV/0!</v>
      </c>
      <c r="R53" s="140" t="e">
        <f>HLOOKUP(Q53,G52:K53,2,TRUE)</f>
        <v>#DIV/0!</v>
      </c>
    </row>
    <row r="54" spans="5:18" ht="21" customHeight="1" hidden="1">
      <c r="E54" s="319"/>
      <c r="N54" s="331"/>
      <c r="P54" s="327"/>
      <c r="Q54" s="322"/>
      <c r="R54" s="140"/>
    </row>
    <row r="55" spans="5:11" ht="21" customHeight="1" hidden="1">
      <c r="E55" s="319" t="s">
        <v>225</v>
      </c>
      <c r="G55" s="317">
        <v>0</v>
      </c>
      <c r="H55" s="321" t="e">
        <f>I55-(N56*P56)</f>
        <v>#DIV/0!</v>
      </c>
      <c r="I55" s="321" t="e">
        <f>N56-(N56*P56/2)</f>
        <v>#DIV/0!</v>
      </c>
      <c r="J55" s="321" t="e">
        <f>I55+(N56*P56)</f>
        <v>#DIV/0!</v>
      </c>
      <c r="K55" s="332" t="e">
        <f>J55+(N56*P56)</f>
        <v>#DIV/0!</v>
      </c>
    </row>
    <row r="56" spans="5:18" ht="21" customHeight="1" hidden="1">
      <c r="E56" s="319" t="s">
        <v>687</v>
      </c>
      <c r="G56" s="317">
        <v>5</v>
      </c>
      <c r="H56" s="317">
        <v>4</v>
      </c>
      <c r="I56" s="317">
        <v>3</v>
      </c>
      <c r="J56" s="317">
        <v>2</v>
      </c>
      <c r="K56" s="316">
        <v>1</v>
      </c>
      <c r="N56" s="1059" t="e">
        <f>L137</f>
        <v>#DIV/0!</v>
      </c>
      <c r="P56" s="327">
        <v>0.15</v>
      </c>
      <c r="Q56" s="1060" t="e">
        <f>E137</f>
        <v>#DIV/0!</v>
      </c>
      <c r="R56" s="140" t="e">
        <f>HLOOKUP(Q56,G55:K56,2,TRUE)</f>
        <v>#DIV/0!</v>
      </c>
    </row>
    <row r="57" spans="5:18" ht="21" customHeight="1" hidden="1">
      <c r="E57" s="319"/>
      <c r="N57" s="331"/>
      <c r="P57" s="327"/>
      <c r="Q57" s="322"/>
      <c r="R57" s="140"/>
    </row>
    <row r="58" spans="5:18" ht="21" customHeight="1" hidden="1">
      <c r="E58" s="319" t="s">
        <v>625</v>
      </c>
      <c r="L58" s="327">
        <f>IF(Targets!J11=0,Targets!K11,Targets!J11)</f>
        <v>0.95</v>
      </c>
      <c r="N58" s="331"/>
      <c r="P58" s="327"/>
      <c r="Q58" s="322"/>
      <c r="R58" s="140"/>
    </row>
    <row r="59" spans="7:16" ht="14.25" customHeight="1" hidden="1">
      <c r="G59" s="41"/>
      <c r="N59" s="41"/>
      <c r="P59" s="334"/>
    </row>
    <row r="60" spans="2:16" ht="12.75" customHeight="1" hidden="1">
      <c r="B60" s="335"/>
      <c r="C60" s="1178" t="s">
        <v>245</v>
      </c>
      <c r="D60" s="1178"/>
      <c r="E60" s="1215" t="e">
        <f>Background!Q77/Background!Q81</f>
        <v>#DIV/0!</v>
      </c>
      <c r="F60" s="336"/>
      <c r="G60" s="337"/>
      <c r="H60" s="338"/>
      <c r="I60" s="338"/>
      <c r="J60" s="338"/>
      <c r="K60" s="339"/>
      <c r="L60" s="1216" t="e">
        <f>IF(Background!Z169/Background!Z131=0,Background!AD162/Background!AD131,Background!Z166/Background!Z131)</f>
        <v>#DIV/0!</v>
      </c>
      <c r="M60" s="1216"/>
      <c r="N60" s="1183" t="e">
        <f>IF(G61=5,"Excellent",IF(G61=4,"Excellent",IF(G61=3,"Target",IF(G61=2,"Profit Leak",IF(G61=1,"Major Leak",0)))))</f>
        <v>#DIV/0!</v>
      </c>
      <c r="O60" s="340"/>
      <c r="P60" s="341"/>
    </row>
    <row r="61" spans="2:16" ht="12.75" customHeight="1" hidden="1">
      <c r="B61" s="335"/>
      <c r="C61" s="1178"/>
      <c r="D61" s="1178"/>
      <c r="E61" s="1215"/>
      <c r="F61" s="342"/>
      <c r="G61" s="343" t="e">
        <f>R19</f>
        <v>#DIV/0!</v>
      </c>
      <c r="H61" s="344" t="e">
        <f>R19</f>
        <v>#DIV/0!</v>
      </c>
      <c r="I61" s="344" t="e">
        <f>R19</f>
        <v>#DIV/0!</v>
      </c>
      <c r="J61" s="344" t="e">
        <f>R19</f>
        <v>#DIV/0!</v>
      </c>
      <c r="K61" s="125"/>
      <c r="L61" s="1216"/>
      <c r="M61" s="1216"/>
      <c r="N61" s="1183"/>
      <c r="O61" s="340"/>
      <c r="P61" s="341"/>
    </row>
    <row r="62" spans="2:16" ht="12.75" customHeight="1" hidden="1">
      <c r="B62" s="335"/>
      <c r="C62" s="1178"/>
      <c r="D62" s="1178"/>
      <c r="E62" s="1215"/>
      <c r="F62" s="345"/>
      <c r="G62" s="346"/>
      <c r="H62" s="347"/>
      <c r="I62" s="347"/>
      <c r="J62" s="347"/>
      <c r="K62" s="348"/>
      <c r="L62" s="1216"/>
      <c r="M62" s="1216"/>
      <c r="N62" s="1183"/>
      <c r="O62" s="340"/>
      <c r="P62" s="341"/>
    </row>
    <row r="63" spans="2:23" ht="12.75" customHeight="1" hidden="1">
      <c r="B63" s="335"/>
      <c r="C63" s="1178" t="str">
        <f>IF(Welcome!K23=1,"Infrastructure per lamb sold","Infrastructure per marketable lamb")</f>
        <v>Infrastructure per lamb sold</v>
      </c>
      <c r="D63" s="1178"/>
      <c r="E63" s="1191" t="e">
        <f>(Background!Q83+Background!Q84+Background!Q85)/Background!Q81</f>
        <v>#DIV/0!</v>
      </c>
      <c r="F63" s="336"/>
      <c r="G63" s="337"/>
      <c r="H63" s="354"/>
      <c r="I63" s="354"/>
      <c r="J63" s="354"/>
      <c r="K63" s="339"/>
      <c r="L63" s="1192" t="e">
        <f>IF(Targets!J39*Targets!J40*Targets!J41=0,(Background!AD183+Background!AD184+Background!AD186)/Background!AD131,(Background!Z183+Background!Z184+Background!Z186)/Background!Z131)</f>
        <v>#DIV/0!</v>
      </c>
      <c r="M63" s="1192"/>
      <c r="N63" s="1183"/>
      <c r="O63" s="340"/>
      <c r="P63" s="341"/>
      <c r="T63" s="319"/>
      <c r="W63" s="319"/>
    </row>
    <row r="64" spans="2:23" ht="3" customHeight="1" hidden="1">
      <c r="B64" s="335"/>
      <c r="C64" s="1178"/>
      <c r="D64" s="1178"/>
      <c r="E64" s="1191"/>
      <c r="F64" s="342"/>
      <c r="G64" s="430" t="e">
        <f>R41</f>
        <v>#DIV/0!</v>
      </c>
      <c r="H64" s="431" t="e">
        <f>R41</f>
        <v>#DIV/0!</v>
      </c>
      <c r="I64" s="431" t="e">
        <f>R41</f>
        <v>#DIV/0!</v>
      </c>
      <c r="J64" s="431" t="e">
        <f>R41</f>
        <v>#DIV/0!</v>
      </c>
      <c r="K64" s="125"/>
      <c r="L64" s="1192"/>
      <c r="M64" s="1192"/>
      <c r="N64" s="1183"/>
      <c r="O64" s="340"/>
      <c r="P64" s="341"/>
      <c r="T64" s="319"/>
      <c r="W64" s="319"/>
    </row>
    <row r="65" spans="2:16" ht="12.75" customHeight="1" hidden="1">
      <c r="B65" s="335"/>
      <c r="C65" s="1178"/>
      <c r="D65" s="1178"/>
      <c r="E65" s="1191"/>
      <c r="F65" s="345"/>
      <c r="G65" s="346"/>
      <c r="H65" s="356"/>
      <c r="I65" s="356"/>
      <c r="J65" s="356"/>
      <c r="K65" s="348"/>
      <c r="L65" s="1192"/>
      <c r="M65" s="1192"/>
      <c r="N65" s="1183"/>
      <c r="O65" s="340"/>
      <c r="P65" s="341"/>
    </row>
    <row r="66" spans="2:17" ht="12.75" customHeight="1" hidden="1">
      <c r="B66" s="335"/>
      <c r="C66" s="1178" t="s">
        <v>246</v>
      </c>
      <c r="D66" s="1178"/>
      <c r="E66" s="1193" t="e">
        <f>FarmData!H6/((FarmData!L5+FarmData!H5)/2)</f>
        <v>#DIV/0!</v>
      </c>
      <c r="F66" s="336"/>
      <c r="G66" s="337"/>
      <c r="H66" s="338"/>
      <c r="I66" s="338"/>
      <c r="J66" s="338"/>
      <c r="K66" s="339"/>
      <c r="L66" s="1210">
        <f>IF(Targets!J13=0,Targets!K13,Targets!J13)</f>
        <v>0.05</v>
      </c>
      <c r="M66" s="349"/>
      <c r="N66" s="1183" t="e">
        <f>IF(G67=5,"Excellent",IF(G67=4,"Excellent",IF(G67=3,"Target",IF(G67=2,"Profit Leak",IF(G67=1,"Major Leak",0)))))</f>
        <v>#DIV/0!</v>
      </c>
      <c r="O66" s="340"/>
      <c r="P66" s="341"/>
      <c r="Q66" s="341"/>
    </row>
    <row r="67" spans="2:17" ht="12.75" customHeight="1" hidden="1">
      <c r="B67" s="335"/>
      <c r="C67" s="1178"/>
      <c r="D67" s="1178"/>
      <c r="E67" s="1193"/>
      <c r="F67" s="342"/>
      <c r="G67" s="343" t="e">
        <f>R13</f>
        <v>#DIV/0!</v>
      </c>
      <c r="H67" s="344" t="e">
        <f>R13</f>
        <v>#DIV/0!</v>
      </c>
      <c r="I67" s="344" t="e">
        <f>R13</f>
        <v>#DIV/0!</v>
      </c>
      <c r="J67" s="344" t="e">
        <f>R13</f>
        <v>#DIV/0!</v>
      </c>
      <c r="K67" s="125"/>
      <c r="L67" s="1210"/>
      <c r="M67" s="350"/>
      <c r="N67" s="1183"/>
      <c r="O67" s="340"/>
      <c r="P67" s="341"/>
      <c r="Q67" s="351"/>
    </row>
    <row r="68" spans="2:17" ht="12.75" customHeight="1" hidden="1">
      <c r="B68" s="335"/>
      <c r="C68" s="1178"/>
      <c r="D68" s="1178"/>
      <c r="E68" s="1193"/>
      <c r="F68" s="345"/>
      <c r="G68" s="346"/>
      <c r="H68" s="347"/>
      <c r="I68" s="347"/>
      <c r="J68" s="347"/>
      <c r="K68" s="348"/>
      <c r="L68" s="1210"/>
      <c r="M68" s="352"/>
      <c r="N68" s="1183"/>
      <c r="O68" s="340"/>
      <c r="P68" s="341"/>
      <c r="Q68" s="351"/>
    </row>
    <row r="69" spans="2:17" ht="12.75" customHeight="1" hidden="1">
      <c r="B69" s="335"/>
      <c r="C69" s="1178" t="s">
        <v>247</v>
      </c>
      <c r="D69" s="1178"/>
      <c r="E69" s="1193" t="e">
        <f>FarmData!H13/((FarmData!M5+FarmData!H12)/2)</f>
        <v>#DIV/0!</v>
      </c>
      <c r="F69" s="336"/>
      <c r="G69" s="337"/>
      <c r="H69" s="338"/>
      <c r="I69" s="338"/>
      <c r="J69" s="338"/>
      <c r="K69" s="339"/>
      <c r="L69" s="1194">
        <f>IF(Targets!J15=0,Targets!K15,Targets!J15)</f>
        <v>0.04</v>
      </c>
      <c r="M69" s="353"/>
      <c r="N69" s="1183" t="e">
        <f>IF(G70=5,"Excellent",IF(G70=4,"Excellent",IF(G70=3,"Target",IF(G70=2,"Profit Leak",IF(G70=1,"Major Leak",0)))))</f>
        <v>#DIV/0!</v>
      </c>
      <c r="O69" s="340"/>
      <c r="P69" s="341"/>
      <c r="Q69" s="341"/>
    </row>
    <row r="70" spans="2:17" ht="12.75" customHeight="1" hidden="1">
      <c r="B70" s="335"/>
      <c r="C70" s="1178"/>
      <c r="D70" s="1178"/>
      <c r="E70" s="1193"/>
      <c r="F70" s="342"/>
      <c r="G70" s="343" t="e">
        <f>R16</f>
        <v>#DIV/0!</v>
      </c>
      <c r="H70" s="344" t="e">
        <f>R16</f>
        <v>#DIV/0!</v>
      </c>
      <c r="I70" s="344" t="e">
        <f>R16</f>
        <v>#DIV/0!</v>
      </c>
      <c r="J70" s="344" t="e">
        <f>R16</f>
        <v>#DIV/0!</v>
      </c>
      <c r="K70" s="125"/>
      <c r="L70" s="1194"/>
      <c r="M70" s="350"/>
      <c r="N70" s="1183"/>
      <c r="O70" s="340"/>
      <c r="P70" s="341"/>
      <c r="Q70" s="351"/>
    </row>
    <row r="71" spans="2:17" ht="12.75" customHeight="1" hidden="1">
      <c r="B71" s="335"/>
      <c r="C71" s="1211"/>
      <c r="D71" s="1211"/>
      <c r="E71" s="1212"/>
      <c r="F71" s="342"/>
      <c r="G71" s="440"/>
      <c r="H71" s="441"/>
      <c r="I71" s="441"/>
      <c r="J71" s="441"/>
      <c r="K71" s="125"/>
      <c r="L71" s="1213"/>
      <c r="M71" s="1095"/>
      <c r="N71" s="1214"/>
      <c r="O71" s="340"/>
      <c r="P71" s="341"/>
      <c r="Q71" s="351"/>
    </row>
    <row r="72" spans="2:17" ht="12.75" customHeight="1" hidden="1">
      <c r="B72" s="402"/>
      <c r="C72" s="1204"/>
      <c r="D72" s="1204"/>
      <c r="E72" s="1205"/>
      <c r="F72" s="402"/>
      <c r="G72" s="1096"/>
      <c r="H72" s="1097"/>
      <c r="I72" s="1097"/>
      <c r="J72" s="1097"/>
      <c r="K72" s="1098"/>
      <c r="L72" s="1206"/>
      <c r="M72" s="1099"/>
      <c r="N72" s="1207"/>
      <c r="O72" s="402"/>
      <c r="P72" s="341"/>
      <c r="Q72" s="341"/>
    </row>
    <row r="73" spans="2:17" ht="12.75" customHeight="1" hidden="1">
      <c r="B73" s="402"/>
      <c r="C73" s="1204"/>
      <c r="D73" s="1204"/>
      <c r="E73" s="1205"/>
      <c r="F73" s="402"/>
      <c r="G73" s="1100"/>
      <c r="H73" s="1100"/>
      <c r="I73" s="1100"/>
      <c r="J73" s="1100"/>
      <c r="K73" s="1098"/>
      <c r="L73" s="1206"/>
      <c r="M73" s="1101"/>
      <c r="N73" s="1207"/>
      <c r="O73" s="402"/>
      <c r="P73" s="341"/>
      <c r="Q73" s="341"/>
    </row>
    <row r="74" spans="2:17" ht="14.25" customHeight="1" hidden="1">
      <c r="B74" s="402"/>
      <c r="C74" s="1204"/>
      <c r="D74" s="1204"/>
      <c r="E74" s="1205"/>
      <c r="F74" s="402"/>
      <c r="G74" s="1096"/>
      <c r="H74" s="1097"/>
      <c r="I74" s="1097"/>
      <c r="J74" s="1097"/>
      <c r="K74" s="1098"/>
      <c r="L74" s="1206"/>
      <c r="M74" s="1101"/>
      <c r="N74" s="1207"/>
      <c r="O74" s="402"/>
      <c r="P74" s="341"/>
      <c r="Q74" s="341"/>
    </row>
    <row r="75" ht="12.75" customHeight="1" hidden="1"/>
    <row r="76" ht="9" customHeight="1"/>
    <row r="77" spans="2:15" ht="6.75" customHeight="1">
      <c r="B77" s="358"/>
      <c r="C77" s="336"/>
      <c r="D77" s="336"/>
      <c r="E77" s="336"/>
      <c r="F77" s="336"/>
      <c r="G77" s="359"/>
      <c r="H77" s="359"/>
      <c r="I77" s="359"/>
      <c r="J77" s="359"/>
      <c r="K77" s="336"/>
      <c r="L77" s="336"/>
      <c r="M77" s="336"/>
      <c r="N77" s="360"/>
      <c r="O77" s="361"/>
    </row>
    <row r="78" spans="2:15" ht="12.75">
      <c r="B78" s="335"/>
      <c r="C78" s="1208" t="s">
        <v>248</v>
      </c>
      <c r="D78" s="1208"/>
      <c r="E78" s="1208"/>
      <c r="F78" s="1208"/>
      <c r="G78" s="1208"/>
      <c r="H78" s="1208"/>
      <c r="I78" s="1208"/>
      <c r="J78" s="1208"/>
      <c r="K78" s="1208"/>
      <c r="L78" s="1209">
        <f>Welcome!H25</f>
        <v>2011</v>
      </c>
      <c r="M78" s="1209"/>
      <c r="N78" s="1209"/>
      <c r="O78" s="340"/>
    </row>
    <row r="79" spans="2:32" ht="12.75">
      <c r="B79" s="335"/>
      <c r="C79" s="1208"/>
      <c r="D79" s="1208"/>
      <c r="E79" s="1208"/>
      <c r="F79" s="1208"/>
      <c r="G79" s="1208"/>
      <c r="H79" s="1208"/>
      <c r="I79" s="1208"/>
      <c r="J79" s="1208"/>
      <c r="K79" s="1208"/>
      <c r="L79" s="1209"/>
      <c r="M79" s="1209"/>
      <c r="N79" s="1209"/>
      <c r="O79" s="340"/>
      <c r="T79" s="362"/>
      <c r="U79" s="363" t="s">
        <v>53</v>
      </c>
      <c r="V79" s="364"/>
      <c r="W79" s="364"/>
      <c r="X79" s="363" t="s">
        <v>61</v>
      </c>
      <c r="Y79" s="364"/>
      <c r="Z79" s="364"/>
      <c r="AA79" s="364"/>
      <c r="AB79" s="363" t="s">
        <v>72</v>
      </c>
      <c r="AC79" s="363"/>
      <c r="AD79" s="363"/>
      <c r="AE79" s="363" t="s">
        <v>249</v>
      </c>
      <c r="AF79" s="365"/>
    </row>
    <row r="80" spans="2:32" ht="12.75">
      <c r="B80" s="335"/>
      <c r="C80" s="1208"/>
      <c r="D80" s="1208"/>
      <c r="E80" s="1208"/>
      <c r="F80" s="1208"/>
      <c r="G80" s="1208"/>
      <c r="H80" s="1208"/>
      <c r="I80" s="1208"/>
      <c r="J80" s="1208"/>
      <c r="K80" s="1208"/>
      <c r="L80" s="1209"/>
      <c r="M80" s="1209"/>
      <c r="N80" s="1209"/>
      <c r="O80" s="340"/>
      <c r="T80" s="362"/>
      <c r="U80" s="363"/>
      <c r="V80" s="364"/>
      <c r="W80" s="364"/>
      <c r="X80" s="363"/>
      <c r="Y80" s="364"/>
      <c r="Z80" s="364"/>
      <c r="AA80" s="364"/>
      <c r="AB80" s="363"/>
      <c r="AC80" s="363"/>
      <c r="AD80" s="363"/>
      <c r="AE80" s="363"/>
      <c r="AF80" s="365"/>
    </row>
    <row r="81" spans="2:32" ht="12.75">
      <c r="B81" s="335"/>
      <c r="C81" s="1208"/>
      <c r="D81" s="1208"/>
      <c r="E81" s="1208"/>
      <c r="F81" s="1208"/>
      <c r="G81" s="1208"/>
      <c r="H81" s="1208"/>
      <c r="I81" s="1208"/>
      <c r="J81" s="1208"/>
      <c r="K81" s="1208"/>
      <c r="L81" s="1209"/>
      <c r="M81" s="1209"/>
      <c r="N81" s="1209"/>
      <c r="O81" s="340"/>
      <c r="T81" s="362" t="s">
        <v>163</v>
      </c>
      <c r="X81" s="366">
        <f>FarmData!M5</f>
        <v>0</v>
      </c>
      <c r="Y81" s="364"/>
      <c r="Z81" s="364"/>
      <c r="AA81" s="364"/>
      <c r="AE81" s="305">
        <f>FarmData!H23+FarmData!H25</f>
        <v>0</v>
      </c>
      <c r="AF81" s="367"/>
    </row>
    <row r="82" spans="2:32" ht="9" customHeight="1">
      <c r="B82" s="335"/>
      <c r="C82" s="342"/>
      <c r="D82" s="368"/>
      <c r="E82" s="368"/>
      <c r="F82" s="368"/>
      <c r="G82" s="369"/>
      <c r="H82" s="369"/>
      <c r="I82" s="369"/>
      <c r="J82" s="369"/>
      <c r="K82" s="342"/>
      <c r="L82" s="342"/>
      <c r="M82" s="342"/>
      <c r="N82" s="370"/>
      <c r="O82" s="340"/>
      <c r="T82" s="362" t="s">
        <v>250</v>
      </c>
      <c r="U82" s="371">
        <f>FarmData!H7</f>
        <v>0</v>
      </c>
      <c r="V82" s="364"/>
      <c r="W82" s="364"/>
      <c r="X82" s="371">
        <f>FarmData!H14</f>
        <v>0</v>
      </c>
      <c r="Y82" s="364"/>
      <c r="Z82" s="364"/>
      <c r="AA82" s="364"/>
      <c r="AB82" s="371">
        <f>FarmData!H21</f>
        <v>0</v>
      </c>
      <c r="AC82" s="364"/>
      <c r="AD82" s="364"/>
      <c r="AE82" s="371" t="str">
        <f>IF(AE81=0,"0",((FarmData!H24*FarmData!H23)+(FarmData!H26*FarmData!H25))/AE81)</f>
        <v>0</v>
      </c>
      <c r="AF82" s="365"/>
    </row>
    <row r="83" spans="2:30" ht="9" customHeight="1">
      <c r="B83" s="335"/>
      <c r="C83" s="342"/>
      <c r="D83" s="368"/>
      <c r="E83" s="358"/>
      <c r="F83" s="372"/>
      <c r="G83" s="373"/>
      <c r="H83" s="1203"/>
      <c r="I83" s="1203"/>
      <c r="J83" s="1203"/>
      <c r="K83" s="1203"/>
      <c r="L83" s="1203"/>
      <c r="M83" s="1203"/>
      <c r="N83" s="1203"/>
      <c r="O83" s="340"/>
      <c r="T83" s="362" t="s">
        <v>251</v>
      </c>
      <c r="U83" s="374"/>
      <c r="V83" s="374"/>
      <c r="X83" s="375" t="s">
        <v>252</v>
      </c>
      <c r="Y83" s="376"/>
      <c r="Z83" s="376"/>
      <c r="AA83" s="376"/>
      <c r="AB83" s="376"/>
      <c r="AC83" s="376"/>
      <c r="AD83" s="376"/>
    </row>
    <row r="84" spans="2:32" ht="20.25" customHeight="1">
      <c r="B84" s="335"/>
      <c r="C84" s="342"/>
      <c r="D84" s="368"/>
      <c r="E84" s="1201" t="s">
        <v>9</v>
      </c>
      <c r="F84" s="1201"/>
      <c r="G84" s="1201"/>
      <c r="H84" s="1202">
        <f>Welcome!H17</f>
        <v>0</v>
      </c>
      <c r="I84" s="1202"/>
      <c r="J84" s="1202"/>
      <c r="K84" s="1202"/>
      <c r="L84" s="1202"/>
      <c r="M84" s="1202"/>
      <c r="N84" s="1202"/>
      <c r="O84" s="340"/>
      <c r="T84" s="377"/>
      <c r="U84" s="378"/>
      <c r="V84" s="378"/>
      <c r="W84" s="378"/>
      <c r="X84" s="378"/>
      <c r="Y84" s="378"/>
      <c r="Z84" s="378"/>
      <c r="AA84" s="378"/>
      <c r="AB84" s="378"/>
      <c r="AC84" s="378"/>
      <c r="AD84" s="378"/>
      <c r="AE84" s="378"/>
      <c r="AF84" s="379"/>
    </row>
    <row r="85" spans="2:32" ht="7.5" customHeight="1">
      <c r="B85" s="335"/>
      <c r="C85" s="342"/>
      <c r="D85" s="368"/>
      <c r="E85" s="380"/>
      <c r="F85" s="381"/>
      <c r="G85" s="382"/>
      <c r="H85" s="1200"/>
      <c r="I85" s="1200"/>
      <c r="J85" s="1200"/>
      <c r="K85" s="1200"/>
      <c r="L85" s="1200"/>
      <c r="M85" s="1200"/>
      <c r="N85" s="1200"/>
      <c r="O85" s="340"/>
      <c r="T85" s="362" t="s">
        <v>253</v>
      </c>
      <c r="U85" s="378"/>
      <c r="V85" s="378"/>
      <c r="W85" s="378"/>
      <c r="X85" s="378"/>
      <c r="Y85" s="383" t="s">
        <v>163</v>
      </c>
      <c r="Z85" s="378"/>
      <c r="AA85" s="383" t="s">
        <v>254</v>
      </c>
      <c r="AB85" s="378"/>
      <c r="AC85" s="378"/>
      <c r="AD85" s="383" t="s">
        <v>255</v>
      </c>
      <c r="AE85" s="378"/>
      <c r="AF85" s="379"/>
    </row>
    <row r="86" spans="2:32" ht="17.25" customHeight="1">
      <c r="B86" s="335"/>
      <c r="C86" s="342"/>
      <c r="D86" s="368"/>
      <c r="E86" s="1201" t="s">
        <v>12</v>
      </c>
      <c r="F86" s="1201"/>
      <c r="G86" s="1201"/>
      <c r="H86" s="1202">
        <f>Welcome!H19</f>
        <v>0</v>
      </c>
      <c r="I86" s="1202"/>
      <c r="J86" s="1202"/>
      <c r="K86" s="1202"/>
      <c r="L86" s="1202"/>
      <c r="M86" s="1202"/>
      <c r="N86" s="1202"/>
      <c r="O86" s="340"/>
      <c r="Q86" s="1154" t="s">
        <v>144</v>
      </c>
      <c r="T86" s="362" t="s">
        <v>256</v>
      </c>
      <c r="U86" s="378"/>
      <c r="V86" s="378"/>
      <c r="W86" s="378"/>
      <c r="X86" s="378"/>
      <c r="Y86" s="384">
        <f>SUM(Income!G9:G11)</f>
        <v>0</v>
      </c>
      <c r="Z86" s="378"/>
      <c r="AA86" s="385">
        <f>IF(Y86=0,0,AD86/Y86)</f>
        <v>0</v>
      </c>
      <c r="AB86" s="374"/>
      <c r="AC86" s="378"/>
      <c r="AD86" s="385">
        <f>SUM(Income!J9:J11)</f>
        <v>0</v>
      </c>
      <c r="AE86" s="374"/>
      <c r="AF86" s="367"/>
    </row>
    <row r="87" spans="2:32" ht="7.5" customHeight="1">
      <c r="B87" s="335"/>
      <c r="C87" s="342"/>
      <c r="D87" s="368"/>
      <c r="E87" s="386"/>
      <c r="F87" s="387"/>
      <c r="G87" s="388"/>
      <c r="H87" s="1200"/>
      <c r="I87" s="1200"/>
      <c r="J87" s="1200"/>
      <c r="K87" s="1200"/>
      <c r="L87" s="1200"/>
      <c r="M87" s="1200"/>
      <c r="N87" s="1200"/>
      <c r="O87" s="340"/>
      <c r="Q87" s="1154"/>
      <c r="T87" s="362" t="s">
        <v>257</v>
      </c>
      <c r="U87" s="378"/>
      <c r="V87" s="378"/>
      <c r="W87" s="378"/>
      <c r="X87" s="378"/>
      <c r="Y87" s="384">
        <f>SUM(Income!G12:G15)</f>
        <v>0</v>
      </c>
      <c r="Z87" s="378"/>
      <c r="AA87" s="385">
        <f>IF(Y87=0,0,AD87/Y87)</f>
        <v>0</v>
      </c>
      <c r="AB87" s="374"/>
      <c r="AC87" s="378"/>
      <c r="AD87" s="385">
        <f>SUM(Income!J12:J15)</f>
        <v>0</v>
      </c>
      <c r="AE87" s="374"/>
      <c r="AF87" s="367"/>
    </row>
    <row r="88" spans="2:17" ht="20.25" customHeight="1">
      <c r="B88" s="335"/>
      <c r="C88" s="342"/>
      <c r="D88" s="368"/>
      <c r="E88" s="1201" t="s">
        <v>13</v>
      </c>
      <c r="F88" s="1201"/>
      <c r="G88" s="1201"/>
      <c r="H88" s="1202" t="str">
        <f>Welcome!H21</f>
        <v>Commercial medium-input</v>
      </c>
      <c r="I88" s="1202"/>
      <c r="J88" s="1202"/>
      <c r="K88" s="1202"/>
      <c r="L88" s="1202"/>
      <c r="M88" s="1202"/>
      <c r="N88" s="1202"/>
      <c r="O88" s="340"/>
      <c r="Q88"/>
    </row>
    <row r="89" spans="2:15" ht="8.25" customHeight="1">
      <c r="B89" s="335"/>
      <c r="C89" s="342"/>
      <c r="D89" s="368"/>
      <c r="E89" s="342"/>
      <c r="F89" s="342"/>
      <c r="G89" s="389"/>
      <c r="H89" s="389"/>
      <c r="I89" s="389"/>
      <c r="J89" s="389"/>
      <c r="K89" s="342"/>
      <c r="L89" s="390"/>
      <c r="M89" s="390"/>
      <c r="N89" s="391"/>
      <c r="O89" s="340"/>
    </row>
    <row r="90" spans="2:17" ht="18.75" customHeight="1">
      <c r="B90" s="335"/>
      <c r="C90" s="1199" t="s">
        <v>258</v>
      </c>
      <c r="D90" s="1199"/>
      <c r="E90" s="1199"/>
      <c r="F90" s="1199"/>
      <c r="G90" s="1199"/>
      <c r="H90" s="1199"/>
      <c r="I90" s="1199"/>
      <c r="J90" s="1199"/>
      <c r="K90" s="1199"/>
      <c r="L90" s="1199"/>
      <c r="M90" s="1199"/>
      <c r="N90" s="1199"/>
      <c r="O90" s="340"/>
      <c r="Q90" s="1155" t="s">
        <v>259</v>
      </c>
    </row>
    <row r="91" spans="2:17" ht="5.25" customHeight="1">
      <c r="B91" s="335"/>
      <c r="C91" s="392"/>
      <c r="D91" s="392"/>
      <c r="E91" s="336"/>
      <c r="F91" s="336"/>
      <c r="G91" s="359"/>
      <c r="H91" s="359"/>
      <c r="I91" s="359"/>
      <c r="J91" s="359"/>
      <c r="K91" s="336"/>
      <c r="L91" s="336"/>
      <c r="M91" s="336"/>
      <c r="N91" s="360"/>
      <c r="O91" s="340"/>
      <c r="Q91" s="1155"/>
    </row>
    <row r="92" spans="2:15" ht="5.25" customHeight="1">
      <c r="B92" s="335"/>
      <c r="C92" s="393"/>
      <c r="D92" s="392"/>
      <c r="E92" s="336"/>
      <c r="F92" s="336"/>
      <c r="G92" s="359"/>
      <c r="H92" s="359"/>
      <c r="I92" s="359"/>
      <c r="J92" s="359"/>
      <c r="K92" s="336"/>
      <c r="L92" s="336"/>
      <c r="M92" s="336"/>
      <c r="N92" s="394"/>
      <c r="O92" s="340"/>
    </row>
    <row r="93" spans="2:19" ht="15" customHeight="1">
      <c r="B93" s="335"/>
      <c r="C93" s="395" t="s">
        <v>679</v>
      </c>
      <c r="D93" s="342"/>
      <c r="E93" s="342"/>
      <c r="F93" s="342"/>
      <c r="G93" s="396"/>
      <c r="H93" s="397">
        <f>(Reports!D20+Reports!J20)/2</f>
        <v>0</v>
      </c>
      <c r="I93" s="396"/>
      <c r="J93" s="398"/>
      <c r="K93" s="399"/>
      <c r="L93" s="399"/>
      <c r="M93" s="399"/>
      <c r="N93" s="400"/>
      <c r="O93" s="340"/>
      <c r="Q93" s="401"/>
      <c r="R93" s="402"/>
      <c r="S93" s="403"/>
    </row>
    <row r="94" spans="2:19" ht="5.25" customHeight="1">
      <c r="B94" s="335"/>
      <c r="C94" s="404"/>
      <c r="D94" s="342"/>
      <c r="E94" s="342"/>
      <c r="F94" s="342"/>
      <c r="G94" s="389"/>
      <c r="H94" s="389"/>
      <c r="I94" s="389"/>
      <c r="J94" s="389"/>
      <c r="K94" s="342"/>
      <c r="L94" s="342"/>
      <c r="M94" s="342"/>
      <c r="N94" s="405"/>
      <c r="O94" s="340"/>
      <c r="Q94" s="406"/>
      <c r="R94" s="402"/>
      <c r="S94" s="403"/>
    </row>
    <row r="95" spans="2:19" ht="15" customHeight="1">
      <c r="B95" s="335"/>
      <c r="C95" s="1198" t="s">
        <v>260</v>
      </c>
      <c r="D95" s="1198"/>
      <c r="E95" s="342"/>
      <c r="F95" s="342"/>
      <c r="G95" s="407"/>
      <c r="H95" s="408">
        <f>Reports!I22</f>
        <v>0</v>
      </c>
      <c r="I95" s="407"/>
      <c r="J95" s="407"/>
      <c r="K95" s="399"/>
      <c r="L95" s="399"/>
      <c r="M95" s="399"/>
      <c r="N95" s="400"/>
      <c r="O95" s="340"/>
      <c r="Q95"/>
      <c r="R95" s="403"/>
      <c r="S95" s="403"/>
    </row>
    <row r="96" spans="2:19" ht="5.25" customHeight="1">
      <c r="B96" s="335"/>
      <c r="C96" s="335"/>
      <c r="D96" s="342"/>
      <c r="E96" s="342"/>
      <c r="F96" s="342"/>
      <c r="G96" s="389"/>
      <c r="H96" s="389"/>
      <c r="I96" s="389"/>
      <c r="J96" s="389"/>
      <c r="K96" s="342"/>
      <c r="L96" s="342"/>
      <c r="M96" s="342"/>
      <c r="N96" s="405"/>
      <c r="O96" s="340"/>
      <c r="Q96" s="1138" t="s">
        <v>261</v>
      </c>
      <c r="R96" s="403"/>
      <c r="S96" s="403"/>
    </row>
    <row r="97" spans="2:19" ht="15" customHeight="1">
      <c r="B97" s="335"/>
      <c r="C97" s="1198" t="s">
        <v>262</v>
      </c>
      <c r="D97" s="1198"/>
      <c r="E97" s="342"/>
      <c r="F97" s="342"/>
      <c r="G97" s="407"/>
      <c r="H97" s="408">
        <f>Reports!F22-Reports!H22</f>
        <v>0</v>
      </c>
      <c r="I97" s="407"/>
      <c r="J97" s="407"/>
      <c r="K97" s="399"/>
      <c r="L97" s="399"/>
      <c r="M97" s="399"/>
      <c r="N97" s="400"/>
      <c r="O97" s="340"/>
      <c r="Q97" s="1138"/>
      <c r="R97" s="403"/>
      <c r="S97" s="403"/>
    </row>
    <row r="98" spans="2:19" ht="5.25" customHeight="1">
      <c r="B98" s="335"/>
      <c r="C98" s="335"/>
      <c r="D98" s="342"/>
      <c r="E98" s="342"/>
      <c r="F98" s="342"/>
      <c r="G98" s="389"/>
      <c r="H98" s="389"/>
      <c r="I98" s="389"/>
      <c r="J98" s="389"/>
      <c r="K98" s="342"/>
      <c r="L98" s="342"/>
      <c r="M98" s="342"/>
      <c r="N98" s="405"/>
      <c r="O98" s="340"/>
      <c r="Q98" s="1138"/>
      <c r="R98" s="403"/>
      <c r="S98" s="403"/>
    </row>
    <row r="99" spans="2:19" ht="15" customHeight="1">
      <c r="B99" s="335"/>
      <c r="C99" s="1198" t="s">
        <v>263</v>
      </c>
      <c r="D99" s="1198"/>
      <c r="E99" s="368"/>
      <c r="F99" s="342"/>
      <c r="G99" s="396"/>
      <c r="H99" s="409">
        <f>Equipment!M41</f>
        <v>0</v>
      </c>
      <c r="I99" s="396"/>
      <c r="J99" s="396"/>
      <c r="K99" s="399"/>
      <c r="L99" s="399"/>
      <c r="M99" s="399"/>
      <c r="N99" s="400"/>
      <c r="O99" s="340"/>
      <c r="Q99" s="406"/>
      <c r="R99" s="406"/>
      <c r="S99" s="406"/>
    </row>
    <row r="100" spans="2:19" ht="6.75" customHeight="1">
      <c r="B100" s="335"/>
      <c r="C100" s="335"/>
      <c r="D100" s="342"/>
      <c r="E100" s="342"/>
      <c r="F100" s="342"/>
      <c r="G100" s="389"/>
      <c r="H100" s="389"/>
      <c r="I100" s="389"/>
      <c r="J100" s="389"/>
      <c r="K100" s="342"/>
      <c r="L100" s="342"/>
      <c r="M100" s="342"/>
      <c r="N100" s="405"/>
      <c r="O100" s="340"/>
      <c r="Q100" s="406"/>
      <c r="R100" s="406"/>
      <c r="S100" s="406"/>
    </row>
    <row r="101" spans="2:19" ht="15" customHeight="1">
      <c r="B101" s="335"/>
      <c r="C101" s="1198" t="s">
        <v>264</v>
      </c>
      <c r="D101" s="1198"/>
      <c r="E101" s="342"/>
      <c r="F101" s="342"/>
      <c r="G101" s="407"/>
      <c r="H101" s="410">
        <f>IF(FarmData!H5=0,0,(FarmData!L5-FarmData!H5)/FarmData!H5)</f>
        <v>0</v>
      </c>
      <c r="I101" s="407"/>
      <c r="J101" s="407"/>
      <c r="K101" s="399"/>
      <c r="L101" s="399"/>
      <c r="M101" s="399"/>
      <c r="N101" s="400"/>
      <c r="O101" s="340"/>
      <c r="P101" s="341"/>
      <c r="Q101" s="403"/>
      <c r="R101" s="403"/>
      <c r="S101" s="403"/>
    </row>
    <row r="102" spans="2:19" ht="5.25" customHeight="1">
      <c r="B102" s="335"/>
      <c r="C102" s="355"/>
      <c r="D102" s="345"/>
      <c r="E102" s="345"/>
      <c r="F102" s="345"/>
      <c r="G102" s="411"/>
      <c r="H102" s="411"/>
      <c r="I102" s="411"/>
      <c r="J102" s="411"/>
      <c r="K102" s="345"/>
      <c r="L102" s="345"/>
      <c r="M102" s="345"/>
      <c r="N102" s="412"/>
      <c r="O102" s="340"/>
      <c r="P102" s="351"/>
      <c r="Q102" s="403"/>
      <c r="R102" s="403"/>
      <c r="S102" s="403"/>
    </row>
    <row r="103" spans="2:29" ht="5.25" customHeight="1">
      <c r="B103" s="335"/>
      <c r="C103" s="413"/>
      <c r="D103" s="413"/>
      <c r="E103" s="413"/>
      <c r="F103" s="413"/>
      <c r="G103" s="414"/>
      <c r="H103" s="414"/>
      <c r="I103" s="414"/>
      <c r="J103" s="414"/>
      <c r="K103" s="413"/>
      <c r="L103" s="413"/>
      <c r="M103" s="413"/>
      <c r="N103" s="415"/>
      <c r="O103" s="340"/>
      <c r="Q103" s="406"/>
      <c r="R103" s="406"/>
      <c r="S103" s="406"/>
      <c r="T103" s="402"/>
      <c r="U103" s="402"/>
      <c r="V103" s="402"/>
      <c r="W103" s="402"/>
      <c r="X103" s="402"/>
      <c r="Y103" s="402"/>
      <c r="Z103" s="402"/>
      <c r="AA103" s="402"/>
      <c r="AB103" s="402"/>
      <c r="AC103" s="402"/>
    </row>
    <row r="104" spans="2:35" ht="18.75" customHeight="1">
      <c r="B104" s="335"/>
      <c r="C104" s="1199" t="s">
        <v>265</v>
      </c>
      <c r="D104" s="1199"/>
      <c r="E104" s="1199"/>
      <c r="F104" s="1199"/>
      <c r="G104" s="1199"/>
      <c r="H104" s="1199"/>
      <c r="I104" s="1199"/>
      <c r="J104" s="1199"/>
      <c r="K104" s="1199"/>
      <c r="L104" s="1199"/>
      <c r="M104" s="1199"/>
      <c r="N104" s="1199"/>
      <c r="O104" s="340"/>
      <c r="P104" s="341"/>
      <c r="R104" s="351"/>
      <c r="S104" s="351"/>
      <c r="T104" s="351"/>
      <c r="U104" s="351"/>
      <c r="V104" s="351"/>
      <c r="W104" s="351"/>
      <c r="X104" s="351"/>
      <c r="Y104" s="351"/>
      <c r="Z104" s="351"/>
      <c r="AA104" s="351"/>
      <c r="AB104" s="351"/>
      <c r="AC104" s="351"/>
      <c r="AD104" s="351"/>
      <c r="AE104" s="351"/>
      <c r="AF104" s="351"/>
      <c r="AG104" s="351"/>
      <c r="AH104" s="351"/>
      <c r="AI104" s="351"/>
    </row>
    <row r="105" spans="2:35" ht="19.5" customHeight="1">
      <c r="B105" s="335"/>
      <c r="C105" s="416" t="s">
        <v>266</v>
      </c>
      <c r="D105" s="417"/>
      <c r="E105" s="418" t="s">
        <v>187</v>
      </c>
      <c r="F105" s="419"/>
      <c r="G105" s="420"/>
      <c r="H105" s="421"/>
      <c r="I105" s="421"/>
      <c r="J105" s="421"/>
      <c r="K105" s="422"/>
      <c r="L105" s="423" t="s">
        <v>267</v>
      </c>
      <c r="M105" s="423"/>
      <c r="N105" s="424" t="s">
        <v>268</v>
      </c>
      <c r="O105" s="340"/>
      <c r="P105" s="341"/>
      <c r="R105" s="425"/>
      <c r="S105" s="426"/>
      <c r="T105" s="351"/>
      <c r="U105" s="351"/>
      <c r="V105" s="351"/>
      <c r="W105" s="351"/>
      <c r="X105" s="351"/>
      <c r="Y105" s="351"/>
      <c r="Z105" s="351"/>
      <c r="AA105" s="351"/>
      <c r="AB105" s="351"/>
      <c r="AC105" s="351"/>
      <c r="AD105" s="351"/>
      <c r="AE105" s="351"/>
      <c r="AF105" s="351"/>
      <c r="AG105" s="427"/>
      <c r="AH105" s="428"/>
      <c r="AI105" s="351"/>
    </row>
    <row r="106" spans="2:22" ht="12.75" customHeight="1">
      <c r="B106" s="335"/>
      <c r="C106" s="1178" t="s">
        <v>732</v>
      </c>
      <c r="D106" s="1178"/>
      <c r="E106" s="1196" t="e">
        <f>FarmData!H17/FarmData!H8</f>
        <v>#DIV/0!</v>
      </c>
      <c r="F106" s="336"/>
      <c r="G106" s="337"/>
      <c r="H106" s="338"/>
      <c r="I106" s="338"/>
      <c r="J106" s="338"/>
      <c r="K106" s="339"/>
      <c r="L106" s="1197">
        <f>IF(Targets!J10*Targets!J11=0,Targets!K10*Targets!K11,Targets!J10*Targets!J11)</f>
        <v>1.805</v>
      </c>
      <c r="M106" s="942"/>
      <c r="N106" s="1183"/>
      <c r="O106" s="340"/>
      <c r="P106" s="341"/>
      <c r="R106" s="429"/>
      <c r="S106" s="429"/>
      <c r="T106" s="429"/>
      <c r="U106" s="429"/>
      <c r="V106" s="429"/>
    </row>
    <row r="107" spans="2:22" ht="3" customHeight="1">
      <c r="B107" s="335"/>
      <c r="C107" s="1178"/>
      <c r="D107" s="1178"/>
      <c r="E107" s="1196"/>
      <c r="F107" s="342"/>
      <c r="G107" s="430" t="e">
        <f>R4</f>
        <v>#DIV/0!</v>
      </c>
      <c r="H107" s="431" t="e">
        <f>R4</f>
        <v>#DIV/0!</v>
      </c>
      <c r="I107" s="431" t="e">
        <f>R4</f>
        <v>#DIV/0!</v>
      </c>
      <c r="J107" s="431" t="e">
        <f>R4</f>
        <v>#DIV/0!</v>
      </c>
      <c r="K107" s="125"/>
      <c r="L107" s="1197"/>
      <c r="M107" s="943"/>
      <c r="N107" s="1183"/>
      <c r="O107" s="340"/>
      <c r="P107" s="341"/>
      <c r="R107" s="432"/>
      <c r="S107" s="432"/>
      <c r="T107" s="432"/>
      <c r="U107" s="432"/>
      <c r="V107" s="432"/>
    </row>
    <row r="108" spans="2:17" ht="12.75" customHeight="1">
      <c r="B108" s="335"/>
      <c r="C108" s="1178"/>
      <c r="D108" s="1178"/>
      <c r="E108" s="1196"/>
      <c r="F108" s="345"/>
      <c r="G108" s="346"/>
      <c r="H108" s="347"/>
      <c r="I108" s="347"/>
      <c r="J108" s="347"/>
      <c r="K108" s="348"/>
      <c r="L108" s="1197"/>
      <c r="M108" s="941"/>
      <c r="N108" s="1183"/>
      <c r="O108" s="340"/>
      <c r="P108" s="341"/>
      <c r="Q108" s="341"/>
    </row>
    <row r="109" spans="2:19" ht="12.75" customHeight="1">
      <c r="B109" s="335"/>
      <c r="C109" s="1178" t="s">
        <v>269</v>
      </c>
      <c r="D109" s="1178"/>
      <c r="E109" s="1193" t="e">
        <f>FarmData!H20/(FarmData!H17+Expenses!H39+FarmData!H16)</f>
        <v>#DIV/0!</v>
      </c>
      <c r="F109" s="336"/>
      <c r="G109" s="337"/>
      <c r="H109" s="338"/>
      <c r="I109" s="338"/>
      <c r="J109" s="338"/>
      <c r="K109" s="339"/>
      <c r="L109" s="1194">
        <f>IF(Targets!J17=0,Targets!K17,Targets!J17)</f>
        <v>0.11</v>
      </c>
      <c r="M109" s="1194"/>
      <c r="N109" s="1183"/>
      <c r="O109" s="433"/>
      <c r="P109" s="434"/>
      <c r="Q109" s="434"/>
      <c r="R109" s="434"/>
      <c r="S109" s="434"/>
    </row>
    <row r="110" spans="2:19" ht="3" customHeight="1">
      <c r="B110" s="335"/>
      <c r="C110" s="1178"/>
      <c r="D110" s="1178"/>
      <c r="E110" s="1193"/>
      <c r="F110" s="342"/>
      <c r="G110" s="430" t="e">
        <f>R10</f>
        <v>#DIV/0!</v>
      </c>
      <c r="H110" s="431" t="e">
        <f>R10</f>
        <v>#DIV/0!</v>
      </c>
      <c r="I110" s="431" t="e">
        <f>R10</f>
        <v>#DIV/0!</v>
      </c>
      <c r="J110" s="431" t="e">
        <f>R10</f>
        <v>#DIV/0!</v>
      </c>
      <c r="K110" s="125"/>
      <c r="L110" s="1194"/>
      <c r="M110" s="1194"/>
      <c r="N110" s="1183"/>
      <c r="O110" s="433"/>
      <c r="P110" s="434"/>
      <c r="Q110" s="434"/>
      <c r="R110" s="434"/>
      <c r="S110" s="434"/>
    </row>
    <row r="111" spans="2:19" ht="12.75" customHeight="1">
      <c r="B111" s="335"/>
      <c r="C111" s="1178"/>
      <c r="D111" s="1178"/>
      <c r="E111" s="1193"/>
      <c r="F111" s="345"/>
      <c r="G111" s="346"/>
      <c r="H111" s="347"/>
      <c r="I111" s="347"/>
      <c r="J111" s="347"/>
      <c r="K111" s="348"/>
      <c r="L111" s="1194"/>
      <c r="M111" s="1194"/>
      <c r="N111" s="1183"/>
      <c r="O111" s="433"/>
      <c r="P111" s="435"/>
      <c r="Q111" s="434"/>
      <c r="R111" s="434"/>
      <c r="S111" s="434"/>
    </row>
    <row r="112" spans="2:35" ht="12.75" customHeight="1">
      <c r="B112" s="335"/>
      <c r="C112" s="1178" t="s">
        <v>270</v>
      </c>
      <c r="D112" s="1178"/>
      <c r="E112" s="1196" t="e">
        <f>(FarmData!H17-(FarmData!H17*E109))/FarmData!H8</f>
        <v>#DIV/0!</v>
      </c>
      <c r="F112" s="336"/>
      <c r="G112" s="337"/>
      <c r="H112" s="338"/>
      <c r="I112" s="338"/>
      <c r="J112" s="338"/>
      <c r="K112" s="339"/>
      <c r="L112" s="1197" t="e">
        <f>(Background!Z120-(Background!Z120*L109))/FarmData!H8</f>
        <v>#DIV/0!</v>
      </c>
      <c r="M112" s="1197"/>
      <c r="N112" s="1183"/>
      <c r="O112" s="340"/>
      <c r="P112" s="341"/>
      <c r="R112" s="351"/>
      <c r="S112" s="351"/>
      <c r="T112" s="351"/>
      <c r="U112" s="351"/>
      <c r="V112" s="351"/>
      <c r="W112" s="351"/>
      <c r="X112" s="351"/>
      <c r="Y112" s="351"/>
      <c r="Z112" s="351"/>
      <c r="AA112" s="351"/>
      <c r="AB112" s="351"/>
      <c r="AC112" s="351"/>
      <c r="AD112" s="351"/>
      <c r="AE112" s="351"/>
      <c r="AF112" s="351"/>
      <c r="AG112" s="351"/>
      <c r="AH112" s="351"/>
      <c r="AI112" s="351"/>
    </row>
    <row r="113" spans="2:35" ht="3" customHeight="1">
      <c r="B113" s="335"/>
      <c r="C113" s="1178"/>
      <c r="D113" s="1178"/>
      <c r="E113" s="1196"/>
      <c r="F113" s="342"/>
      <c r="G113" s="430" t="e">
        <f>R7</f>
        <v>#DIV/0!</v>
      </c>
      <c r="H113" s="431" t="e">
        <f>R7</f>
        <v>#DIV/0!</v>
      </c>
      <c r="I113" s="431" t="e">
        <f>R7</f>
        <v>#DIV/0!</v>
      </c>
      <c r="J113" s="431" t="e">
        <f>R7</f>
        <v>#DIV/0!</v>
      </c>
      <c r="K113" s="125"/>
      <c r="L113" s="1197"/>
      <c r="M113" s="1197"/>
      <c r="N113" s="1183"/>
      <c r="O113" s="340"/>
      <c r="P113" s="341"/>
      <c r="R113" s="351"/>
      <c r="S113" s="351"/>
      <c r="T113" s="351"/>
      <c r="U113" s="351"/>
      <c r="V113" s="351"/>
      <c r="W113" s="351"/>
      <c r="X113" s="351"/>
      <c r="Y113" s="351"/>
      <c r="Z113" s="351"/>
      <c r="AA113" s="351"/>
      <c r="AB113" s="351"/>
      <c r="AC113" s="351"/>
      <c r="AD113" s="351"/>
      <c r="AE113" s="351"/>
      <c r="AF113" s="351"/>
      <c r="AG113" s="436"/>
      <c r="AH113" s="437"/>
      <c r="AI113" s="351"/>
    </row>
    <row r="114" spans="2:35" ht="12.75" customHeight="1">
      <c r="B114" s="335"/>
      <c r="C114" s="1178"/>
      <c r="D114" s="1178"/>
      <c r="E114" s="1196"/>
      <c r="F114" s="345"/>
      <c r="G114" s="346"/>
      <c r="H114" s="347"/>
      <c r="I114" s="347"/>
      <c r="J114" s="347"/>
      <c r="K114" s="348"/>
      <c r="L114" s="1197"/>
      <c r="M114" s="1197"/>
      <c r="N114" s="1183"/>
      <c r="O114" s="340"/>
      <c r="P114" s="341"/>
      <c r="R114" s="351"/>
      <c r="S114" s="351"/>
      <c r="T114" s="351"/>
      <c r="U114" s="351"/>
      <c r="V114" s="351"/>
      <c r="W114" s="351"/>
      <c r="X114" s="351"/>
      <c r="Y114" s="351"/>
      <c r="Z114" s="351"/>
      <c r="AA114" s="351"/>
      <c r="AB114" s="351"/>
      <c r="AC114" s="351"/>
      <c r="AD114" s="351"/>
      <c r="AE114" s="351"/>
      <c r="AF114" s="351"/>
      <c r="AG114" s="351"/>
      <c r="AH114" s="351"/>
      <c r="AI114" s="351"/>
    </row>
    <row r="115" spans="2:16" ht="5.25" customHeight="1">
      <c r="B115" s="335"/>
      <c r="C115" s="438"/>
      <c r="D115" s="438"/>
      <c r="E115" s="439"/>
      <c r="F115" s="342"/>
      <c r="G115" s="440"/>
      <c r="H115" s="441"/>
      <c r="I115" s="441"/>
      <c r="J115" s="441"/>
      <c r="K115" s="125"/>
      <c r="L115" s="442"/>
      <c r="M115" s="442"/>
      <c r="N115" s="443"/>
      <c r="O115" s="340"/>
      <c r="P115" s="341"/>
    </row>
    <row r="116" spans="2:16" ht="18.75" customHeight="1">
      <c r="B116" s="335"/>
      <c r="C116" s="444" t="s">
        <v>24</v>
      </c>
      <c r="D116" s="417"/>
      <c r="E116" s="418"/>
      <c r="F116" s="445"/>
      <c r="G116" s="446"/>
      <c r="H116" s="447"/>
      <c r="I116" s="447"/>
      <c r="J116" s="447"/>
      <c r="K116" s="448"/>
      <c r="L116" s="423"/>
      <c r="M116" s="423"/>
      <c r="N116" s="449"/>
      <c r="O116" s="340"/>
      <c r="P116" s="341"/>
    </row>
    <row r="117" spans="2:17" ht="12.75" customHeight="1">
      <c r="B117" s="335"/>
      <c r="C117" s="1178" t="str">
        <f>IF(Welcome!K23=1,"Income per lamb sold","Income per marketable lamb")</f>
        <v>Income per lamb sold</v>
      </c>
      <c r="D117" s="1178"/>
      <c r="E117" s="1191" t="e">
        <f>Income!J20/Background!Q81</f>
        <v>#DIV/0!</v>
      </c>
      <c r="F117" s="336"/>
      <c r="G117" s="337"/>
      <c r="H117" s="354"/>
      <c r="I117" s="354"/>
      <c r="J117" s="354"/>
      <c r="K117" s="339"/>
      <c r="L117" s="1191" t="e">
        <f>Background!Z146/Background!Z131</f>
        <v>#DIV/0!</v>
      </c>
      <c r="M117" s="1191"/>
      <c r="N117" s="1183"/>
      <c r="O117" s="340"/>
      <c r="P117" s="341"/>
      <c r="Q117" s="341"/>
    </row>
    <row r="118" spans="2:16" ht="3" customHeight="1">
      <c r="B118" s="335"/>
      <c r="C118" s="1178"/>
      <c r="D118" s="1178"/>
      <c r="E118" s="1191"/>
      <c r="F118" s="342"/>
      <c r="G118" s="430" t="e">
        <f>R25</f>
        <v>#DIV/0!</v>
      </c>
      <c r="H118" s="431" t="e">
        <f>R25</f>
        <v>#DIV/0!</v>
      </c>
      <c r="I118" s="431" t="e">
        <f>R25</f>
        <v>#DIV/0!</v>
      </c>
      <c r="J118" s="431" t="e">
        <f>R25</f>
        <v>#DIV/0!</v>
      </c>
      <c r="K118" s="125"/>
      <c r="L118" s="1191"/>
      <c r="M118" s="1191"/>
      <c r="N118" s="1183"/>
      <c r="O118" s="340"/>
      <c r="P118" s="341"/>
    </row>
    <row r="119" spans="2:16" ht="12.75" customHeight="1">
      <c r="B119" s="335"/>
      <c r="C119" s="1178"/>
      <c r="D119" s="1178"/>
      <c r="E119" s="1191"/>
      <c r="F119" s="345"/>
      <c r="G119" s="346"/>
      <c r="H119" s="356"/>
      <c r="I119" s="356"/>
      <c r="J119" s="356"/>
      <c r="K119" s="348"/>
      <c r="L119" s="1191"/>
      <c r="M119" s="1191"/>
      <c r="N119" s="1183"/>
      <c r="O119" s="340"/>
      <c r="P119" s="341"/>
    </row>
    <row r="120" spans="2:16" ht="12.75" customHeight="1">
      <c r="B120" s="335"/>
      <c r="C120" s="1178" t="s">
        <v>271</v>
      </c>
      <c r="D120" s="1178"/>
      <c r="E120" s="1191" t="e">
        <f>SUM(Income!J9:J13)/SUM(Income!G9:G13)</f>
        <v>#DIV/0!</v>
      </c>
      <c r="F120" s="336"/>
      <c r="G120" s="337"/>
      <c r="H120" s="354"/>
      <c r="I120" s="354"/>
      <c r="J120" s="354"/>
      <c r="K120" s="339"/>
      <c r="L120" s="1191" t="e">
        <f>IF(Targets!J20=0,Background!AE138/Background!AD128,Background!Z138/Background!Z128)</f>
        <v>#DIV/0!</v>
      </c>
      <c r="M120" s="1191"/>
      <c r="N120" s="1183"/>
      <c r="O120" s="340"/>
      <c r="P120" s="341"/>
    </row>
    <row r="121" spans="2:16" ht="3" customHeight="1">
      <c r="B121" s="335"/>
      <c r="C121" s="1178"/>
      <c r="D121" s="1178"/>
      <c r="E121" s="1191"/>
      <c r="F121" s="342"/>
      <c r="G121" s="430" t="e">
        <f>R28</f>
        <v>#DIV/0!</v>
      </c>
      <c r="H121" s="431" t="e">
        <f>R28</f>
        <v>#DIV/0!</v>
      </c>
      <c r="I121" s="431" t="e">
        <f>R28</f>
        <v>#DIV/0!</v>
      </c>
      <c r="J121" s="431" t="e">
        <f>R28</f>
        <v>#DIV/0!</v>
      </c>
      <c r="K121" s="125"/>
      <c r="L121" s="1191"/>
      <c r="M121" s="1191"/>
      <c r="N121" s="1183"/>
      <c r="O121" s="340"/>
      <c r="P121" s="341"/>
    </row>
    <row r="122" spans="2:16" ht="12.75" customHeight="1">
      <c r="B122" s="335"/>
      <c r="C122" s="1178"/>
      <c r="D122" s="1178"/>
      <c r="E122" s="1191"/>
      <c r="F122" s="345"/>
      <c r="G122" s="346"/>
      <c r="H122" s="356"/>
      <c r="I122" s="356"/>
      <c r="J122" s="356"/>
      <c r="K122" s="348"/>
      <c r="L122" s="1191"/>
      <c r="M122" s="1191"/>
      <c r="N122" s="1183"/>
      <c r="O122" s="340"/>
      <c r="P122" s="341"/>
    </row>
    <row r="123" spans="2:16" ht="12.75" customHeight="1">
      <c r="B123" s="335"/>
      <c r="C123" s="1178" t="str">
        <f>IF(Welcome!K23=1,"Income of Production / lamb sold","Income of Production / marketable lamb")</f>
        <v>Income of Production / lamb sold</v>
      </c>
      <c r="D123" s="1178"/>
      <c r="E123" s="1191" t="e">
        <f>(Income!J20+Background!V88)/Background!Q81</f>
        <v>#DIV/0!</v>
      </c>
      <c r="F123" s="336"/>
      <c r="G123" s="337"/>
      <c r="H123" s="354"/>
      <c r="I123" s="354"/>
      <c r="J123" s="354"/>
      <c r="K123" s="339"/>
      <c r="L123" s="1191" t="e">
        <f>IF(Background!Z144=0,(Targets!K29+Background!V88)/Background!AD131,(Targets!J29+Background!V88)/Background!Z131)</f>
        <v>#DIV/0!</v>
      </c>
      <c r="M123" s="1191"/>
      <c r="N123" s="1183"/>
      <c r="O123" s="340"/>
      <c r="P123" s="341"/>
    </row>
    <row r="124" spans="2:16" ht="3" customHeight="1">
      <c r="B124" s="335"/>
      <c r="C124" s="1178"/>
      <c r="D124" s="1178"/>
      <c r="E124" s="1191"/>
      <c r="F124" s="342"/>
      <c r="G124" s="430" t="e">
        <f>R31</f>
        <v>#DIV/0!</v>
      </c>
      <c r="H124" s="431" t="e">
        <f>R31</f>
        <v>#DIV/0!</v>
      </c>
      <c r="I124" s="431" t="e">
        <f>R31</f>
        <v>#DIV/0!</v>
      </c>
      <c r="J124" s="431" t="e">
        <f>R31</f>
        <v>#DIV/0!</v>
      </c>
      <c r="K124" s="125"/>
      <c r="L124" s="1191"/>
      <c r="M124" s="1191"/>
      <c r="N124" s="1183"/>
      <c r="O124" s="340"/>
      <c r="P124" s="341"/>
    </row>
    <row r="125" spans="2:16" ht="12.75" customHeight="1">
      <c r="B125" s="335"/>
      <c r="C125" s="1178"/>
      <c r="D125" s="1178"/>
      <c r="E125" s="1191"/>
      <c r="F125" s="345"/>
      <c r="G125" s="346"/>
      <c r="H125" s="356"/>
      <c r="I125" s="356"/>
      <c r="J125" s="356"/>
      <c r="K125" s="348"/>
      <c r="L125" s="1191"/>
      <c r="M125" s="1191"/>
      <c r="N125" s="1183"/>
      <c r="O125" s="340"/>
      <c r="P125" s="341"/>
    </row>
    <row r="126" spans="2:16" ht="5.25" customHeight="1">
      <c r="B126" s="335"/>
      <c r="C126" s="438"/>
      <c r="D126" s="438"/>
      <c r="E126" s="450"/>
      <c r="F126" s="342"/>
      <c r="G126" s="440"/>
      <c r="H126" s="451"/>
      <c r="I126" s="451"/>
      <c r="J126" s="451"/>
      <c r="K126" s="125"/>
      <c r="L126" s="153"/>
      <c r="M126" s="153"/>
      <c r="N126" s="452"/>
      <c r="O126" s="340"/>
      <c r="P126" s="341"/>
    </row>
    <row r="127" spans="2:16" ht="18.75" customHeight="1">
      <c r="B127" s="335"/>
      <c r="C127" s="1139" t="s">
        <v>686</v>
      </c>
      <c r="D127" s="1195"/>
      <c r="E127" s="454"/>
      <c r="F127" s="453"/>
      <c r="G127" s="455"/>
      <c r="H127" s="456"/>
      <c r="I127" s="456"/>
      <c r="J127" s="456"/>
      <c r="K127" s="457"/>
      <c r="L127" s="454"/>
      <c r="M127" s="454"/>
      <c r="N127" s="458"/>
      <c r="O127" s="340"/>
      <c r="P127" s="351"/>
    </row>
    <row r="128" spans="2:16" ht="12.75" customHeight="1">
      <c r="B128" s="335"/>
      <c r="C128" s="1178" t="str">
        <f>IF(Welcome!K23=1,"Feed per lamb sold","Feed per marketable lamb")</f>
        <v>Feed per lamb sold</v>
      </c>
      <c r="D128" s="1178"/>
      <c r="E128" s="1191" t="e">
        <f>Background!N57</f>
        <v>#DIV/0!</v>
      </c>
      <c r="F128" s="336"/>
      <c r="G128" s="337"/>
      <c r="H128" s="354"/>
      <c r="I128" s="354"/>
      <c r="J128" s="354"/>
      <c r="K128" s="339"/>
      <c r="L128" s="1192" t="e">
        <f>IF(Targets!J33/Background!Z131=0,Targets!K33/Background!AD131,Targets!J33/Background!Z131)</f>
        <v>#DIV/0!</v>
      </c>
      <c r="M128" s="1192"/>
      <c r="N128" s="1183"/>
      <c r="O128" s="340"/>
      <c r="P128" s="341"/>
    </row>
    <row r="129" spans="2:16" ht="3" customHeight="1">
      <c r="B129" s="335"/>
      <c r="C129" s="1178"/>
      <c r="D129" s="1178"/>
      <c r="E129" s="1191"/>
      <c r="F129" s="342"/>
      <c r="G129" s="430" t="e">
        <f>R35</f>
        <v>#DIV/0!</v>
      </c>
      <c r="H129" s="431" t="e">
        <f>R35</f>
        <v>#DIV/0!</v>
      </c>
      <c r="I129" s="431" t="e">
        <f>R35</f>
        <v>#DIV/0!</v>
      </c>
      <c r="J129" s="431" t="e">
        <f>R35</f>
        <v>#DIV/0!</v>
      </c>
      <c r="K129" s="125"/>
      <c r="L129" s="1192"/>
      <c r="M129" s="1192"/>
      <c r="N129" s="1183"/>
      <c r="O129" s="340"/>
      <c r="P129" s="341"/>
    </row>
    <row r="130" spans="2:16" ht="12.75" customHeight="1">
      <c r="B130" s="335"/>
      <c r="C130" s="1178"/>
      <c r="D130" s="1178"/>
      <c r="E130" s="1191"/>
      <c r="F130" s="345"/>
      <c r="G130" s="346"/>
      <c r="H130" s="356"/>
      <c r="I130" s="356"/>
      <c r="J130" s="356"/>
      <c r="K130" s="348"/>
      <c r="L130" s="1192"/>
      <c r="M130" s="1192"/>
      <c r="N130" s="1183"/>
      <c r="O130" s="340"/>
      <c r="P130" s="341"/>
    </row>
    <row r="131" spans="2:16" ht="12.75" customHeight="1">
      <c r="B131" s="335"/>
      <c r="C131" s="1178" t="str">
        <f>IF(Welcome!K23=1,"Labour per lamb sold","Labour per marketable lamb")</f>
        <v>Labour per lamb sold</v>
      </c>
      <c r="D131" s="1178"/>
      <c r="E131" s="1191" t="e">
        <f>E60*Background!Q78</f>
        <v>#DIV/0!</v>
      </c>
      <c r="F131" s="336"/>
      <c r="G131" s="337"/>
      <c r="H131" s="354"/>
      <c r="I131" s="354"/>
      <c r="J131" s="354"/>
      <c r="K131" s="339"/>
      <c r="L131" s="1192" t="e">
        <f>L60*Background!Q78</f>
        <v>#DIV/0!</v>
      </c>
      <c r="M131" s="1192"/>
      <c r="N131" s="1183"/>
      <c r="O131" s="340"/>
      <c r="P131" s="341"/>
    </row>
    <row r="132" spans="2:16" ht="3" customHeight="1">
      <c r="B132" s="335"/>
      <c r="C132" s="1178"/>
      <c r="D132" s="1178"/>
      <c r="E132" s="1191"/>
      <c r="F132" s="342"/>
      <c r="G132" s="430" t="e">
        <f>R53</f>
        <v>#DIV/0!</v>
      </c>
      <c r="H132" s="431" t="e">
        <f>R53</f>
        <v>#DIV/0!</v>
      </c>
      <c r="I132" s="431" t="e">
        <f>R53</f>
        <v>#DIV/0!</v>
      </c>
      <c r="J132" s="431" t="e">
        <f>R53</f>
        <v>#DIV/0!</v>
      </c>
      <c r="K132" s="125"/>
      <c r="L132" s="1192"/>
      <c r="M132" s="1192"/>
      <c r="N132" s="1183"/>
      <c r="O132" s="340"/>
      <c r="P132" s="341"/>
    </row>
    <row r="133" spans="2:16" ht="12.75" customHeight="1">
      <c r="B133" s="335"/>
      <c r="C133" s="1178"/>
      <c r="D133" s="1178"/>
      <c r="E133" s="1191"/>
      <c r="F133" s="345"/>
      <c r="G133" s="346"/>
      <c r="H133" s="356"/>
      <c r="I133" s="356"/>
      <c r="J133" s="356"/>
      <c r="K133" s="348"/>
      <c r="L133" s="1192"/>
      <c r="M133" s="1192"/>
      <c r="N133" s="1183"/>
      <c r="O133" s="340"/>
      <c r="P133" s="341"/>
    </row>
    <row r="134" spans="2:16" ht="12.75" customHeight="1">
      <c r="B134" s="335"/>
      <c r="C134" s="1178" t="str">
        <f>IF(Welcome!K23=1,"All other costs per lamb sold","All other costs per marketable lamb")</f>
        <v>All other costs per lamb sold</v>
      </c>
      <c r="D134" s="1178"/>
      <c r="E134" s="1191" t="e">
        <f>E137-E128-E131</f>
        <v>#DIV/0!</v>
      </c>
      <c r="F134" s="336"/>
      <c r="G134" s="337"/>
      <c r="H134" s="354"/>
      <c r="I134" s="354"/>
      <c r="J134" s="354"/>
      <c r="K134" s="339"/>
      <c r="L134" s="1192" t="e">
        <f>L137-L128-L131</f>
        <v>#DIV/0!</v>
      </c>
      <c r="M134" s="1192">
        <f>M137-M128-M131</f>
        <v>0</v>
      </c>
      <c r="N134" s="1183"/>
      <c r="O134" s="340"/>
      <c r="P134" s="341"/>
    </row>
    <row r="135" spans="2:23" ht="3" customHeight="1">
      <c r="B135" s="335"/>
      <c r="C135" s="1178"/>
      <c r="D135" s="1178"/>
      <c r="E135" s="1191"/>
      <c r="F135" s="342"/>
      <c r="G135" s="430" t="e">
        <f>R38</f>
        <v>#DIV/0!</v>
      </c>
      <c r="H135" s="431" t="e">
        <f>R38</f>
        <v>#DIV/0!</v>
      </c>
      <c r="I135" s="431" t="e">
        <f>R38</f>
        <v>#DIV/0!</v>
      </c>
      <c r="J135" s="431" t="e">
        <f>R38</f>
        <v>#DIV/0!</v>
      </c>
      <c r="K135" s="125"/>
      <c r="L135" s="1192"/>
      <c r="M135" s="1192"/>
      <c r="N135" s="1183"/>
      <c r="O135" s="340"/>
      <c r="P135" s="341"/>
      <c r="T135" s="319"/>
      <c r="W135" s="319"/>
    </row>
    <row r="136" spans="2:23" ht="12.75" customHeight="1">
      <c r="B136" s="335"/>
      <c r="C136" s="1178"/>
      <c r="D136" s="1178"/>
      <c r="E136" s="1191"/>
      <c r="F136" s="345"/>
      <c r="G136" s="346"/>
      <c r="H136" s="356"/>
      <c r="I136" s="356"/>
      <c r="J136" s="356"/>
      <c r="K136" s="348"/>
      <c r="L136" s="1192"/>
      <c r="M136" s="1192"/>
      <c r="N136" s="1183"/>
      <c r="O136" s="340"/>
      <c r="P136" s="341"/>
      <c r="T136" s="319"/>
      <c r="W136" s="319"/>
    </row>
    <row r="137" spans="2:16" ht="12.75" customHeight="1">
      <c r="B137" s="335"/>
      <c r="C137" s="1184" t="str">
        <f>IF(Welcome!K23=1,"Cost of Production per lamb sold","Cost of Production / marketable lamb")</f>
        <v>Cost of Production per lamb sold</v>
      </c>
      <c r="D137" s="1184"/>
      <c r="E137" s="1185" t="e">
        <f>Background!U62/Background!Q81</f>
        <v>#DIV/0!</v>
      </c>
      <c r="F137" s="336"/>
      <c r="G137" s="337"/>
      <c r="H137" s="354"/>
      <c r="I137" s="354"/>
      <c r="J137" s="354"/>
      <c r="K137" s="339"/>
      <c r="L137" s="1186" t="e">
        <f>IF(Targets!J33/Background!Z131=0,Background!AC62/Background!AD131,Background!Y62/Background!Z131)</f>
        <v>#DIV/0!</v>
      </c>
      <c r="M137" s="1186"/>
      <c r="N137" s="1183"/>
      <c r="O137" s="340"/>
      <c r="P137" s="341"/>
    </row>
    <row r="138" spans="2:23" ht="3" customHeight="1">
      <c r="B138" s="335"/>
      <c r="C138" s="1184"/>
      <c r="D138" s="1184"/>
      <c r="E138" s="1185"/>
      <c r="F138" s="342"/>
      <c r="G138" s="430" t="e">
        <f>R56</f>
        <v>#DIV/0!</v>
      </c>
      <c r="H138" s="431" t="e">
        <f>R56</f>
        <v>#DIV/0!</v>
      </c>
      <c r="I138" s="431" t="e">
        <f>R56</f>
        <v>#DIV/0!</v>
      </c>
      <c r="J138" s="431" t="e">
        <f>R56</f>
        <v>#DIV/0!</v>
      </c>
      <c r="K138" s="125"/>
      <c r="L138" s="1186"/>
      <c r="M138" s="1186"/>
      <c r="N138" s="1183"/>
      <c r="O138" s="340"/>
      <c r="P138" s="341"/>
      <c r="T138" s="319"/>
      <c r="W138" s="319"/>
    </row>
    <row r="139" spans="2:23" ht="12.75" customHeight="1">
      <c r="B139" s="335"/>
      <c r="C139" s="1184"/>
      <c r="D139" s="1184"/>
      <c r="E139" s="1185"/>
      <c r="F139" s="345"/>
      <c r="G139" s="346"/>
      <c r="H139" s="356"/>
      <c r="I139" s="356"/>
      <c r="J139" s="356"/>
      <c r="K139" s="348"/>
      <c r="L139" s="1186"/>
      <c r="M139" s="1186"/>
      <c r="N139" s="1183"/>
      <c r="O139" s="340"/>
      <c r="P139" s="341"/>
      <c r="T139" s="319"/>
      <c r="W139" s="319"/>
    </row>
    <row r="140" spans="2:23" ht="5.25" customHeight="1">
      <c r="B140" s="335"/>
      <c r="C140" s="438"/>
      <c r="D140" s="438"/>
      <c r="E140" s="459"/>
      <c r="F140" s="342"/>
      <c r="G140" s="440"/>
      <c r="H140" s="451"/>
      <c r="I140" s="451"/>
      <c r="J140" s="451"/>
      <c r="K140" s="125"/>
      <c r="L140" s="114"/>
      <c r="M140" s="114"/>
      <c r="N140" s="452"/>
      <c r="O140" s="340"/>
      <c r="P140" s="341"/>
      <c r="T140" s="319"/>
      <c r="U140" s="319"/>
      <c r="V140" s="319"/>
      <c r="W140" s="319"/>
    </row>
    <row r="141" spans="2:23" ht="18.75" customHeight="1">
      <c r="B141" s="335"/>
      <c r="C141" s="444" t="s">
        <v>272</v>
      </c>
      <c r="D141" s="460"/>
      <c r="E141" s="423"/>
      <c r="F141" s="419"/>
      <c r="G141" s="420"/>
      <c r="H141" s="421"/>
      <c r="I141" s="421"/>
      <c r="J141" s="421"/>
      <c r="K141" s="422"/>
      <c r="L141" s="423"/>
      <c r="M141" s="423"/>
      <c r="N141" s="461"/>
      <c r="O141" s="340"/>
      <c r="P141" s="341"/>
      <c r="T141" s="319"/>
      <c r="U141" s="319"/>
      <c r="V141" s="319"/>
      <c r="W141" s="319"/>
    </row>
    <row r="142" spans="2:24" ht="12.75" customHeight="1">
      <c r="B142" s="335"/>
      <c r="C142" s="1178" t="str">
        <f>IF(Welcome!K23=1,"Profit per lamb sold","Profit per marketable lamb")</f>
        <v>Profit per lamb sold</v>
      </c>
      <c r="D142" s="1178"/>
      <c r="E142" s="1191" t="e">
        <f>IF(E123-E137&lt;0,0,E123-E137)</f>
        <v>#DIV/0!</v>
      </c>
      <c r="F142" s="336"/>
      <c r="G142" s="337"/>
      <c r="H142" s="354"/>
      <c r="I142" s="354"/>
      <c r="J142" s="354"/>
      <c r="K142" s="339"/>
      <c r="L142" s="1192" t="e">
        <f>IF(L123-L137&lt;5,5,L123-L137)</f>
        <v>#DIV/0!</v>
      </c>
      <c r="M142" s="1192">
        <f>IF(M123-M137&lt;0,0,M123-M137)</f>
        <v>0</v>
      </c>
      <c r="N142" s="1183"/>
      <c r="O142" s="340"/>
      <c r="P142" s="341"/>
      <c r="T142" s="319"/>
      <c r="U142" s="319"/>
      <c r="V142" s="319"/>
      <c r="W142" s="319"/>
      <c r="X142" s="319"/>
    </row>
    <row r="143" spans="2:24" ht="3" customHeight="1">
      <c r="B143" s="335"/>
      <c r="C143" s="1178"/>
      <c r="D143" s="1178"/>
      <c r="E143" s="1191"/>
      <c r="F143" s="342"/>
      <c r="G143" s="430" t="e">
        <f>R44</f>
        <v>#DIV/0!</v>
      </c>
      <c r="H143" s="431" t="e">
        <f>R44</f>
        <v>#DIV/0!</v>
      </c>
      <c r="I143" s="431" t="e">
        <f>R44</f>
        <v>#DIV/0!</v>
      </c>
      <c r="J143" s="431" t="e">
        <f>R44</f>
        <v>#DIV/0!</v>
      </c>
      <c r="K143" s="125"/>
      <c r="L143" s="1192"/>
      <c r="M143" s="1192"/>
      <c r="N143" s="1183"/>
      <c r="O143" s="340"/>
      <c r="P143" s="341"/>
      <c r="T143" s="319"/>
      <c r="U143" s="319"/>
      <c r="V143" s="319"/>
      <c r="W143" s="319"/>
      <c r="X143" s="319"/>
    </row>
    <row r="144" spans="2:24" ht="12.75" customHeight="1">
      <c r="B144" s="335"/>
      <c r="C144" s="1178"/>
      <c r="D144" s="1178"/>
      <c r="E144" s="1191"/>
      <c r="F144" s="345"/>
      <c r="G144" s="346"/>
      <c r="H144" s="356"/>
      <c r="I144" s="356"/>
      <c r="J144" s="356"/>
      <c r="K144" s="348"/>
      <c r="L144" s="1192"/>
      <c r="M144" s="1192"/>
      <c r="N144" s="1183"/>
      <c r="O144" s="340"/>
      <c r="P144" s="341"/>
      <c r="T144" s="319"/>
      <c r="U144" s="319"/>
      <c r="V144" s="319"/>
      <c r="W144" s="319"/>
      <c r="X144" s="319"/>
    </row>
    <row r="145" spans="2:24" ht="12.75" customHeight="1">
      <c r="B145" s="335"/>
      <c r="C145" s="1178" t="s">
        <v>242</v>
      </c>
      <c r="D145" s="1178"/>
      <c r="E145" s="1193" t="e">
        <f>IF(Background!U73&lt;0,0,Background!U73)</f>
        <v>#DIV/0!</v>
      </c>
      <c r="F145" s="336"/>
      <c r="G145" s="337"/>
      <c r="H145" s="354"/>
      <c r="I145" s="354"/>
      <c r="J145" s="354"/>
      <c r="K145" s="339"/>
      <c r="L145" s="1194" t="e">
        <f>IF(Background!Y73&lt;0.02,0.02,Background!Y73)</f>
        <v>#DIV/0!</v>
      </c>
      <c r="M145" s="1194" t="e">
        <f>IF(Background!AC73&lt;0,0,Background!AC73)</f>
        <v>#DIV/0!</v>
      </c>
      <c r="N145" s="1183"/>
      <c r="O145" s="340"/>
      <c r="P145" s="341"/>
      <c r="T145" s="319"/>
      <c r="U145" s="319"/>
      <c r="V145" s="319"/>
      <c r="W145" s="319"/>
      <c r="X145" s="319"/>
    </row>
    <row r="146" spans="2:20" ht="3" customHeight="1">
      <c r="B146" s="335"/>
      <c r="C146" s="1178"/>
      <c r="D146" s="1178"/>
      <c r="E146" s="1193"/>
      <c r="F146" s="342"/>
      <c r="G146" s="430" t="e">
        <f>R47</f>
        <v>#DIV/0!</v>
      </c>
      <c r="H146" s="431" t="e">
        <f>R47</f>
        <v>#DIV/0!</v>
      </c>
      <c r="I146" s="431" t="e">
        <f>R47</f>
        <v>#DIV/0!</v>
      </c>
      <c r="J146" s="431" t="e">
        <f>R47</f>
        <v>#DIV/0!</v>
      </c>
      <c r="K146" s="125"/>
      <c r="L146" s="1194"/>
      <c r="M146" s="1194"/>
      <c r="N146" s="1183"/>
      <c r="O146" s="340"/>
      <c r="P146" s="341"/>
      <c r="T146" s="319"/>
    </row>
    <row r="147" spans="2:20" ht="12.75" customHeight="1">
      <c r="B147" s="335"/>
      <c r="C147" s="1178"/>
      <c r="D147" s="1178"/>
      <c r="E147" s="1193"/>
      <c r="F147" s="345"/>
      <c r="G147" s="346"/>
      <c r="H147" s="347"/>
      <c r="I147" s="347"/>
      <c r="J147" s="347"/>
      <c r="K147" s="348"/>
      <c r="L147" s="1194"/>
      <c r="M147" s="1194"/>
      <c r="N147" s="1183"/>
      <c r="O147" s="340"/>
      <c r="P147" s="341"/>
      <c r="T147" s="319"/>
    </row>
    <row r="148" spans="2:20" ht="12.75" customHeight="1">
      <c r="B148" s="335"/>
      <c r="C148" s="1178" t="s">
        <v>273</v>
      </c>
      <c r="D148" s="1178"/>
      <c r="E148" s="1187" t="e">
        <f>Background!U67</f>
        <v>#DIV/0!</v>
      </c>
      <c r="F148" s="336"/>
      <c r="G148" s="337"/>
      <c r="H148" s="338"/>
      <c r="I148" s="338"/>
      <c r="J148" s="338"/>
      <c r="K148" s="339"/>
      <c r="L148" s="1188" t="e">
        <f>IF(Targets!J44&gt;Background!Q78,Targets!J44,Background!Q78)</f>
        <v>#DIV/0!</v>
      </c>
      <c r="M148" s="1188"/>
      <c r="N148" s="1183"/>
      <c r="O148" s="340"/>
      <c r="P148" s="341"/>
      <c r="T148" s="319"/>
    </row>
    <row r="149" spans="2:20" ht="3" customHeight="1">
      <c r="B149" s="335"/>
      <c r="C149" s="1178"/>
      <c r="D149" s="1178"/>
      <c r="E149" s="1187"/>
      <c r="F149" s="342"/>
      <c r="G149" s="430" t="e">
        <f>R50</f>
        <v>#DIV/0!</v>
      </c>
      <c r="H149" s="431" t="e">
        <f>R50</f>
        <v>#DIV/0!</v>
      </c>
      <c r="I149" s="431" t="e">
        <f>R50</f>
        <v>#DIV/0!</v>
      </c>
      <c r="J149" s="431" t="e">
        <f>R50</f>
        <v>#DIV/0!</v>
      </c>
      <c r="K149" s="125"/>
      <c r="L149" s="1189"/>
      <c r="M149" s="1189"/>
      <c r="N149" s="1183"/>
      <c r="O149" s="340"/>
      <c r="P149" s="341"/>
      <c r="T149" s="319"/>
    </row>
    <row r="150" spans="2:24" ht="12.75" customHeight="1">
      <c r="B150" s="335"/>
      <c r="C150" s="1178"/>
      <c r="D150" s="1178"/>
      <c r="E150" s="1187"/>
      <c r="F150" s="345"/>
      <c r="G150" s="346"/>
      <c r="H150" s="356"/>
      <c r="I150" s="356"/>
      <c r="J150" s="356"/>
      <c r="K150" s="348"/>
      <c r="L150" s="1190"/>
      <c r="M150" s="1190"/>
      <c r="N150" s="1183"/>
      <c r="O150" s="340"/>
      <c r="P150" s="341"/>
      <c r="T150" s="319"/>
      <c r="U150" s="319"/>
      <c r="V150" s="319"/>
      <c r="W150" s="319"/>
      <c r="X150" s="319"/>
    </row>
    <row r="151" spans="2:24" ht="12.75" customHeight="1">
      <c r="B151" s="335"/>
      <c r="C151" s="1178" t="s">
        <v>735</v>
      </c>
      <c r="D151" s="1178"/>
      <c r="E151" s="1179" t="e">
        <f>Background!U66</f>
        <v>#DIV/0!</v>
      </c>
      <c r="F151" s="336"/>
      <c r="G151" s="337"/>
      <c r="H151" s="338"/>
      <c r="I151" s="338"/>
      <c r="J151" s="338"/>
      <c r="K151" s="339"/>
      <c r="L151" s="1180" t="e">
        <f>Background!Y66</f>
        <v>#DIV/0!</v>
      </c>
      <c r="M151" s="1180"/>
      <c r="N151" s="1183"/>
      <c r="O151" s="340"/>
      <c r="P151" s="341"/>
      <c r="T151" s="319"/>
      <c r="U151" s="319"/>
      <c r="V151" s="319"/>
      <c r="W151" s="319"/>
      <c r="X151" s="319"/>
    </row>
    <row r="152" spans="2:24" ht="3" customHeight="1">
      <c r="B152" s="335"/>
      <c r="C152" s="1178"/>
      <c r="D152" s="1178"/>
      <c r="E152" s="1179"/>
      <c r="F152" s="342"/>
      <c r="G152" s="430" t="e">
        <f>R50</f>
        <v>#DIV/0!</v>
      </c>
      <c r="H152" s="431" t="e">
        <f>R50</f>
        <v>#DIV/0!</v>
      </c>
      <c r="I152" s="431" t="e">
        <f>R50</f>
        <v>#DIV/0!</v>
      </c>
      <c r="J152" s="431" t="e">
        <f>R50</f>
        <v>#DIV/0!</v>
      </c>
      <c r="K152" s="125"/>
      <c r="L152" s="1181"/>
      <c r="M152" s="1181"/>
      <c r="N152" s="1183"/>
      <c r="O152" s="340"/>
      <c r="P152" s="341"/>
      <c r="T152" s="319"/>
      <c r="U152" s="319"/>
      <c r="V152" s="319"/>
      <c r="W152" s="319"/>
      <c r="X152" s="319"/>
    </row>
    <row r="153" spans="2:24" ht="12.75" customHeight="1">
      <c r="B153" s="335"/>
      <c r="C153" s="1178"/>
      <c r="D153" s="1178"/>
      <c r="E153" s="1179"/>
      <c r="F153" s="345"/>
      <c r="G153" s="346"/>
      <c r="H153" s="356"/>
      <c r="I153" s="356"/>
      <c r="J153" s="356"/>
      <c r="K153" s="348"/>
      <c r="L153" s="1182"/>
      <c r="M153" s="1182"/>
      <c r="N153" s="1183"/>
      <c r="O153" s="340"/>
      <c r="P153" s="341"/>
      <c r="T153" s="319"/>
      <c r="U153" s="319"/>
      <c r="V153" s="319"/>
      <c r="W153" s="319"/>
      <c r="X153" s="319"/>
    </row>
    <row r="154" spans="2:17" ht="6.75" customHeight="1">
      <c r="B154" s="355"/>
      <c r="C154" s="345"/>
      <c r="D154" s="345"/>
      <c r="E154" s="345"/>
      <c r="F154" s="345"/>
      <c r="G154" s="346"/>
      <c r="H154" s="346"/>
      <c r="I154" s="346"/>
      <c r="J154" s="346"/>
      <c r="K154" s="462"/>
      <c r="L154" s="345"/>
      <c r="M154" s="345"/>
      <c r="N154" s="463"/>
      <c r="O154" s="357"/>
      <c r="P154" s="341"/>
      <c r="Q154" s="319"/>
    </row>
    <row r="155" ht="21"/>
    <row r="156" ht="21"/>
    <row r="200" ht="21"/>
    <row r="201" ht="21"/>
    <row r="213" ht="21"/>
  </sheetData>
  <sheetProtection password="DEBF" sheet="1"/>
  <mergeCells count="97">
    <mergeCell ref="C123:D125"/>
    <mergeCell ref="E123:E125"/>
    <mergeCell ref="L123:M125"/>
    <mergeCell ref="N123:N125"/>
    <mergeCell ref="C60:D62"/>
    <mergeCell ref="E60:E62"/>
    <mergeCell ref="L60:M62"/>
    <mergeCell ref="N60:N62"/>
    <mergeCell ref="C66:D68"/>
    <mergeCell ref="E66:E68"/>
    <mergeCell ref="L66:L68"/>
    <mergeCell ref="N66:N68"/>
    <mergeCell ref="C69:D71"/>
    <mergeCell ref="E69:E71"/>
    <mergeCell ref="L69:L71"/>
    <mergeCell ref="N69:N71"/>
    <mergeCell ref="C72:D74"/>
    <mergeCell ref="E72:E74"/>
    <mergeCell ref="L72:L74"/>
    <mergeCell ref="N72:N74"/>
    <mergeCell ref="C78:K81"/>
    <mergeCell ref="L78:N81"/>
    <mergeCell ref="H83:N83"/>
    <mergeCell ref="E84:G84"/>
    <mergeCell ref="H84:N84"/>
    <mergeCell ref="H85:N85"/>
    <mergeCell ref="E86:G86"/>
    <mergeCell ref="H86:N86"/>
    <mergeCell ref="Q86:Q87"/>
    <mergeCell ref="H87:N87"/>
    <mergeCell ref="E88:G88"/>
    <mergeCell ref="H88:N88"/>
    <mergeCell ref="C90:N90"/>
    <mergeCell ref="Q90:Q91"/>
    <mergeCell ref="C95:D95"/>
    <mergeCell ref="Q96:Q98"/>
    <mergeCell ref="C97:D97"/>
    <mergeCell ref="C99:D99"/>
    <mergeCell ref="C101:D101"/>
    <mergeCell ref="C104:N104"/>
    <mergeCell ref="N117:N119"/>
    <mergeCell ref="C106:D108"/>
    <mergeCell ref="E106:E108"/>
    <mergeCell ref="L106:L108"/>
    <mergeCell ref="N106:N108"/>
    <mergeCell ref="C109:D111"/>
    <mergeCell ref="E109:E111"/>
    <mergeCell ref="L109:M111"/>
    <mergeCell ref="N109:N111"/>
    <mergeCell ref="N120:N122"/>
    <mergeCell ref="L128:M130"/>
    <mergeCell ref="N128:N130"/>
    <mergeCell ref="C112:D114"/>
    <mergeCell ref="E112:E114"/>
    <mergeCell ref="L112:M114"/>
    <mergeCell ref="N112:N114"/>
    <mergeCell ref="C117:D119"/>
    <mergeCell ref="E117:E119"/>
    <mergeCell ref="L117:M119"/>
    <mergeCell ref="C131:D133"/>
    <mergeCell ref="E131:E133"/>
    <mergeCell ref="L131:M133"/>
    <mergeCell ref="N131:N133"/>
    <mergeCell ref="C134:D136"/>
    <mergeCell ref="E134:E136"/>
    <mergeCell ref="L134:M136"/>
    <mergeCell ref="N134:N136"/>
    <mergeCell ref="C63:D65"/>
    <mergeCell ref="E63:E65"/>
    <mergeCell ref="L63:M65"/>
    <mergeCell ref="N63:N65"/>
    <mergeCell ref="C128:D130"/>
    <mergeCell ref="E128:E130"/>
    <mergeCell ref="C127:D127"/>
    <mergeCell ref="C120:D122"/>
    <mergeCell ref="E120:E122"/>
    <mergeCell ref="L120:M122"/>
    <mergeCell ref="L148:M150"/>
    <mergeCell ref="N148:N150"/>
    <mergeCell ref="C142:D144"/>
    <mergeCell ref="E142:E144"/>
    <mergeCell ref="L142:M144"/>
    <mergeCell ref="N142:N144"/>
    <mergeCell ref="C145:D147"/>
    <mergeCell ref="E145:E147"/>
    <mergeCell ref="L145:M147"/>
    <mergeCell ref="N145:N147"/>
    <mergeCell ref="C151:D153"/>
    <mergeCell ref="E151:E153"/>
    <mergeCell ref="L151:M153"/>
    <mergeCell ref="N151:N153"/>
    <mergeCell ref="C137:D139"/>
    <mergeCell ref="E137:E139"/>
    <mergeCell ref="L137:M139"/>
    <mergeCell ref="N137:N139"/>
    <mergeCell ref="C148:D150"/>
    <mergeCell ref="E148:E150"/>
  </mergeCells>
  <conditionalFormatting sqref="O109:S111">
    <cfRule type="expression" priority="43" dxfId="100" stopIfTrue="1">
      <formula>NOT(ISERROR(SEARCH("Major Issue",O109)))</formula>
    </cfRule>
    <cfRule type="expression" priority="44" dxfId="97" stopIfTrue="1">
      <formula>NOT(ISERROR(SEARCH("Sub Par",O109)))</formula>
    </cfRule>
    <cfRule type="expression" priority="45" dxfId="96" stopIfTrue="1">
      <formula>NOT(ISERROR(SEARCH("Average",O109)))</formula>
    </cfRule>
  </conditionalFormatting>
  <conditionalFormatting sqref="N115">
    <cfRule type="expression" priority="46" dxfId="97" stopIfTrue="1">
      <formula>NOT(ISERROR(SEARCH("Profit Leak",N115)))</formula>
    </cfRule>
    <cfRule type="expression" priority="47" dxfId="96" stopIfTrue="1">
      <formula>NOT(ISERROR(SEARCH("Target",N115)))</formula>
    </cfRule>
    <cfRule type="expression" priority="48" dxfId="95" stopIfTrue="1">
      <formula>NOT(ISERROR(SEARCH("Excellent",N115)))</formula>
    </cfRule>
  </conditionalFormatting>
  <conditionalFormatting sqref="G61:H61 G67:H67 G70:H70 G73:H73 G107:H107 G110:H110 G113:H113 G118:H118 G121:H121 G129:H129 G132:H132 G135:H135 G64:H64 G143:H143 G146:H146 G149:H149">
    <cfRule type="cellIs" priority="49" dxfId="22" operator="equal" stopIfTrue="1">
      <formula>2</formula>
    </cfRule>
    <cfRule type="cellIs" priority="50" dxfId="19" operator="equal" stopIfTrue="1">
      <formula>3</formula>
    </cfRule>
    <cfRule type="cellIs" priority="51" dxfId="17" operator="greaterThanOrEqual" stopIfTrue="1">
      <formula>4</formula>
    </cfRule>
  </conditionalFormatting>
  <conditionalFormatting sqref="I61 I67 I70 I73 I107 I110 I113 I118 I121 I129 I132 I135 I64 I143 I146 I149">
    <cfRule type="cellIs" priority="52" dxfId="19" operator="equal" stopIfTrue="1">
      <formula>3</formula>
    </cfRule>
    <cfRule type="cellIs" priority="53" dxfId="17" operator="greaterThanOrEqual" stopIfTrue="1">
      <formula>4</formula>
    </cfRule>
  </conditionalFormatting>
  <conditionalFormatting sqref="J61 J67 J70 J73 J107 J110 J113 J118 J121 J129 J132 J135 J64 J143 J146 J149">
    <cfRule type="cellIs" priority="54" dxfId="17" operator="greaterThanOrEqual" stopIfTrue="1">
      <formula>4</formula>
    </cfRule>
  </conditionalFormatting>
  <conditionalFormatting sqref="N106">
    <cfRule type="expression" priority="55" dxfId="16" stopIfTrue="1">
      <formula>R4=2</formula>
    </cfRule>
    <cfRule type="expression" priority="56" dxfId="15" stopIfTrue="1">
      <formula>R4=3</formula>
    </cfRule>
    <cfRule type="expression" priority="57" dxfId="14" stopIfTrue="1">
      <formula>R4&gt;=4</formula>
    </cfRule>
  </conditionalFormatting>
  <conditionalFormatting sqref="N109">
    <cfRule type="expression" priority="58" dxfId="16" stopIfTrue="1">
      <formula>R10=2</formula>
    </cfRule>
    <cfRule type="expression" priority="59" dxfId="15" stopIfTrue="1">
      <formula>R10=3</formula>
    </cfRule>
    <cfRule type="expression" priority="60" dxfId="14" stopIfTrue="1">
      <formula>R10&gt;=4</formula>
    </cfRule>
  </conditionalFormatting>
  <conditionalFormatting sqref="N112">
    <cfRule type="expression" priority="61" dxfId="16" stopIfTrue="1">
      <formula>R7=2</formula>
    </cfRule>
    <cfRule type="expression" priority="62" dxfId="15" stopIfTrue="1">
      <formula>R7=3</formula>
    </cfRule>
    <cfRule type="expression" priority="63" dxfId="14" stopIfTrue="1">
      <formula>R7&gt;=4</formula>
    </cfRule>
  </conditionalFormatting>
  <conditionalFormatting sqref="N117">
    <cfRule type="expression" priority="64" dxfId="16" stopIfTrue="1">
      <formula>R25=2</formula>
    </cfRule>
    <cfRule type="expression" priority="65" dxfId="15" stopIfTrue="1">
      <formula>R25=3</formula>
    </cfRule>
    <cfRule type="expression" priority="66" dxfId="14" stopIfTrue="1">
      <formula>R25&gt;=4</formula>
    </cfRule>
  </conditionalFormatting>
  <conditionalFormatting sqref="N120">
    <cfRule type="expression" priority="67" dxfId="16" stopIfTrue="1">
      <formula>R28=2</formula>
    </cfRule>
    <cfRule type="expression" priority="68" dxfId="15" stopIfTrue="1">
      <formula>R28=3</formula>
    </cfRule>
    <cfRule type="expression" priority="69" dxfId="14" stopIfTrue="1">
      <formula>R28&gt;=4</formula>
    </cfRule>
  </conditionalFormatting>
  <conditionalFormatting sqref="N128">
    <cfRule type="expression" priority="70" dxfId="16" stopIfTrue="1">
      <formula>R35=2</formula>
    </cfRule>
    <cfRule type="expression" priority="71" dxfId="15" stopIfTrue="1">
      <formula>R35=3</formula>
    </cfRule>
    <cfRule type="expression" priority="72" dxfId="14" stopIfTrue="1">
      <formula>R35&gt;=4</formula>
    </cfRule>
  </conditionalFormatting>
  <conditionalFormatting sqref="N131">
    <cfRule type="expression" priority="73" dxfId="16" stopIfTrue="1">
      <formula>R53=2</formula>
    </cfRule>
    <cfRule type="expression" priority="74" dxfId="15" stopIfTrue="1">
      <formula>R53=3</formula>
    </cfRule>
    <cfRule type="expression" priority="75" dxfId="14" stopIfTrue="1">
      <formula>R53&gt;=4</formula>
    </cfRule>
  </conditionalFormatting>
  <conditionalFormatting sqref="N134">
    <cfRule type="expression" priority="76" dxfId="16" stopIfTrue="1">
      <formula>R38=2</formula>
    </cfRule>
    <cfRule type="expression" priority="77" dxfId="15" stopIfTrue="1">
      <formula>R38=3</formula>
    </cfRule>
    <cfRule type="expression" priority="78" dxfId="14" stopIfTrue="1">
      <formula>R38&gt;=4</formula>
    </cfRule>
  </conditionalFormatting>
  <conditionalFormatting sqref="N63">
    <cfRule type="expression" priority="79" dxfId="16" stopIfTrue="1">
      <formula>R41=2</formula>
    </cfRule>
    <cfRule type="expression" priority="80" dxfId="42" stopIfTrue="1">
      <formula>R41=3</formula>
    </cfRule>
    <cfRule type="expression" priority="81" dxfId="14" stopIfTrue="1">
      <formula>R41=4</formula>
    </cfRule>
  </conditionalFormatting>
  <conditionalFormatting sqref="N142">
    <cfRule type="expression" priority="82" dxfId="16" stopIfTrue="1">
      <formula>R44=2</formula>
    </cfRule>
    <cfRule type="expression" priority="83" dxfId="15" stopIfTrue="1">
      <formula>R44=3</formula>
    </cfRule>
    <cfRule type="expression" priority="84" dxfId="14" stopIfTrue="1">
      <formula>R44&gt;=4</formula>
    </cfRule>
  </conditionalFormatting>
  <conditionalFormatting sqref="N145">
    <cfRule type="expression" priority="85" dxfId="16" stopIfTrue="1">
      <formula>R47=2</formula>
    </cfRule>
    <cfRule type="expression" priority="86" dxfId="57" stopIfTrue="1">
      <formula>R47=3</formula>
    </cfRule>
    <cfRule type="expression" priority="87" dxfId="14" stopIfTrue="1">
      <formula>R47&gt;=4</formula>
    </cfRule>
  </conditionalFormatting>
  <conditionalFormatting sqref="N148">
    <cfRule type="expression" priority="88" dxfId="16" stopIfTrue="1">
      <formula>R50=2</formula>
    </cfRule>
    <cfRule type="expression" priority="89" dxfId="15" stopIfTrue="1">
      <formula>R50=3</formula>
    </cfRule>
    <cfRule type="expression" priority="90" dxfId="14" stopIfTrue="1">
      <formula>R50&gt;=4</formula>
    </cfRule>
  </conditionalFormatting>
  <conditionalFormatting sqref="N60">
    <cfRule type="expression" priority="91" dxfId="16" stopIfTrue="1">
      <formula>NOT(ISERROR(SEARCH("Profit Leak",N60)))</formula>
    </cfRule>
    <cfRule type="expression" priority="92" dxfId="42" stopIfTrue="1">
      <formula>NOT(ISERROR(SEARCH("Target",N60)))</formula>
    </cfRule>
    <cfRule type="expression" priority="93" dxfId="14" stopIfTrue="1">
      <formula>NOT(ISERROR(SEARCH("Excellent",N60)))</formula>
    </cfRule>
  </conditionalFormatting>
  <conditionalFormatting sqref="N66">
    <cfRule type="expression" priority="94" dxfId="16" stopIfTrue="1">
      <formula>NOT(ISERROR(SEARCH("Profit Leak",N66)))</formula>
    </cfRule>
    <cfRule type="expression" priority="95" dxfId="42" stopIfTrue="1">
      <formula>NOT(ISERROR(SEARCH("Target",N66)))</formula>
    </cfRule>
    <cfRule type="expression" priority="96" dxfId="14" stopIfTrue="1">
      <formula>NOT(ISERROR(SEARCH("Excellent",N66)))</formula>
    </cfRule>
  </conditionalFormatting>
  <conditionalFormatting sqref="N69">
    <cfRule type="expression" priority="97" dxfId="16" stopIfTrue="1">
      <formula>NOT(ISERROR(SEARCH("Profit Leak",N69)))</formula>
    </cfRule>
    <cfRule type="expression" priority="98" dxfId="42" stopIfTrue="1">
      <formula>NOT(ISERROR(SEARCH("Target",N69)))</formula>
    </cfRule>
    <cfRule type="expression" priority="99" dxfId="14" stopIfTrue="1">
      <formula>NOT(ISERROR(SEARCH("Excellent",N69)))</formula>
    </cfRule>
  </conditionalFormatting>
  <conditionalFormatting sqref="N72">
    <cfRule type="expression" priority="100" dxfId="16" stopIfTrue="1">
      <formula>NOT(ISERROR(SEARCH("Profit Leak",N72)))</formula>
    </cfRule>
    <cfRule type="expression" priority="101" dxfId="42" stopIfTrue="1">
      <formula>NOT(ISERROR(SEARCH("Target",N72)))</formula>
    </cfRule>
    <cfRule type="expression" priority="102" dxfId="14" stopIfTrue="1">
      <formula>NOT(ISERROR(SEARCH("Excellent",N72)))</formula>
    </cfRule>
  </conditionalFormatting>
  <conditionalFormatting sqref="N137">
    <cfRule type="expression" priority="40" dxfId="16" stopIfTrue="1">
      <formula>R56=2</formula>
    </cfRule>
    <cfRule type="expression" priority="41" dxfId="15" stopIfTrue="1">
      <formula>R56=3</formula>
    </cfRule>
    <cfRule type="expression" priority="42" dxfId="14" stopIfTrue="1">
      <formula>R56&gt;=4</formula>
    </cfRule>
  </conditionalFormatting>
  <conditionalFormatting sqref="G124:H124">
    <cfRule type="cellIs" priority="25" dxfId="22" operator="equal" stopIfTrue="1">
      <formula>2</formula>
    </cfRule>
    <cfRule type="cellIs" priority="26" dxfId="19" operator="equal" stopIfTrue="1">
      <formula>3</formula>
    </cfRule>
    <cfRule type="cellIs" priority="27" dxfId="17" operator="greaterThanOrEqual" stopIfTrue="1">
      <formula>4</formula>
    </cfRule>
  </conditionalFormatting>
  <conditionalFormatting sqref="I124">
    <cfRule type="cellIs" priority="28" dxfId="19" operator="equal" stopIfTrue="1">
      <formula>3</formula>
    </cfRule>
    <cfRule type="cellIs" priority="29" dxfId="17" operator="greaterThanOrEqual" stopIfTrue="1">
      <formula>4</formula>
    </cfRule>
  </conditionalFormatting>
  <conditionalFormatting sqref="J124">
    <cfRule type="cellIs" priority="30" dxfId="17" operator="greaterThanOrEqual" stopIfTrue="1">
      <formula>4</formula>
    </cfRule>
  </conditionalFormatting>
  <conditionalFormatting sqref="N123">
    <cfRule type="expression" priority="31" dxfId="16" stopIfTrue="1">
      <formula>R31=2</formula>
    </cfRule>
    <cfRule type="expression" priority="32" dxfId="15" stopIfTrue="1">
      <formula>R31=3</formula>
    </cfRule>
    <cfRule type="expression" priority="33" dxfId="14" stopIfTrue="1">
      <formula>R31&gt;=4</formula>
    </cfRule>
  </conditionalFormatting>
  <conditionalFormatting sqref="G138:H138">
    <cfRule type="cellIs" priority="19" dxfId="22" operator="equal" stopIfTrue="1">
      <formula>2</formula>
    </cfRule>
    <cfRule type="cellIs" priority="20" dxfId="19" operator="equal" stopIfTrue="1">
      <formula>3</formula>
    </cfRule>
    <cfRule type="cellIs" priority="21" dxfId="17" operator="greaterThanOrEqual" stopIfTrue="1">
      <formula>4</formula>
    </cfRule>
  </conditionalFormatting>
  <conditionalFormatting sqref="I138">
    <cfRule type="cellIs" priority="22" dxfId="19" operator="equal" stopIfTrue="1">
      <formula>3</formula>
    </cfRule>
    <cfRule type="cellIs" priority="23" dxfId="17" operator="greaterThanOrEqual" stopIfTrue="1">
      <formula>4</formula>
    </cfRule>
  </conditionalFormatting>
  <conditionalFormatting sqref="J138">
    <cfRule type="cellIs" priority="24" dxfId="17" operator="greaterThanOrEqual" stopIfTrue="1">
      <formula>4</formula>
    </cfRule>
  </conditionalFormatting>
  <conditionalFormatting sqref="G152:H152">
    <cfRule type="cellIs" priority="1" dxfId="22" operator="equal" stopIfTrue="1">
      <formula>2</formula>
    </cfRule>
    <cfRule type="cellIs" priority="2" dxfId="19" operator="equal" stopIfTrue="1">
      <formula>3</formula>
    </cfRule>
    <cfRule type="cellIs" priority="3" dxfId="17" operator="greaterThanOrEqual" stopIfTrue="1">
      <formula>4</formula>
    </cfRule>
  </conditionalFormatting>
  <conditionalFormatting sqref="I152">
    <cfRule type="cellIs" priority="4" dxfId="19" operator="equal" stopIfTrue="1">
      <formula>3</formula>
    </cfRule>
    <cfRule type="cellIs" priority="5" dxfId="17" operator="greaterThanOrEqual" stopIfTrue="1">
      <formula>4</formula>
    </cfRule>
  </conditionalFormatting>
  <conditionalFormatting sqref="J152">
    <cfRule type="cellIs" priority="6" dxfId="17" operator="greaterThanOrEqual" stopIfTrue="1">
      <formula>4</formula>
    </cfRule>
  </conditionalFormatting>
  <conditionalFormatting sqref="N151">
    <cfRule type="expression" priority="7" dxfId="16" stopIfTrue="1">
      <formula>R50=2</formula>
    </cfRule>
    <cfRule type="expression" priority="8" dxfId="15" stopIfTrue="1">
      <formula>R50=3</formula>
    </cfRule>
    <cfRule type="expression" priority="9" dxfId="14" stopIfTrue="1">
      <formula>R50&gt;=4</formula>
    </cfRule>
  </conditionalFormatting>
  <hyperlinks>
    <hyperlink ref="Q86" location="Reports!A1" display="     Next     "/>
    <hyperlink ref="Q90" location="Targets!D2" display="     Back       "/>
    <hyperlink ref="Q96" location="Menu!E3" display="     Menu     "/>
  </hyperlinks>
  <printOptions/>
  <pageMargins left="0.7" right="0.7" top="0.75" bottom="0.75" header="0.5118055555555555" footer="0.5118055555555555"/>
  <pageSetup horizontalDpi="600" verticalDpi="600" orientation="portrait" scale="84" r:id="rId4"/>
  <drawing r:id="rId3"/>
  <legacyDrawing r:id="rId2"/>
</worksheet>
</file>

<file path=xl/worksheets/sheet9.xml><?xml version="1.0" encoding="utf-8"?>
<worksheet xmlns="http://schemas.openxmlformats.org/spreadsheetml/2006/main" xmlns:r="http://schemas.openxmlformats.org/officeDocument/2006/relationships">
  <dimension ref="B1:R54"/>
  <sheetViews>
    <sheetView showGridLines="0" showRowColHeaders="0" zoomScaleSheetLayoutView="100" workbookViewId="0" topLeftCell="A1">
      <selection activeCell="E49" sqref="E49"/>
    </sheetView>
  </sheetViews>
  <sheetFormatPr defaultColWidth="9.140625" defaultRowHeight="12.75"/>
  <cols>
    <col min="1" max="2" width="1.28515625" style="0" customWidth="1"/>
    <col min="3" max="10" width="12.7109375" style="0" customWidth="1"/>
    <col min="11" max="12" width="1.421875" style="0" customWidth="1"/>
    <col min="13" max="13" width="22.00390625" style="0" customWidth="1"/>
    <col min="15" max="15" width="8.8515625" style="464" hidden="1" customWidth="1"/>
  </cols>
  <sheetData>
    <row r="1" spans="2:11" ht="6" customHeight="1">
      <c r="B1" s="465"/>
      <c r="C1" s="465"/>
      <c r="D1" s="465"/>
      <c r="E1" s="465"/>
      <c r="F1" s="465"/>
      <c r="G1" s="465"/>
      <c r="H1" s="465"/>
      <c r="I1" s="465"/>
      <c r="J1" s="465"/>
      <c r="K1" s="465"/>
    </row>
    <row r="2" spans="2:11" ht="6" customHeight="1">
      <c r="B2" s="5"/>
      <c r="C2" s="6"/>
      <c r="D2" s="6"/>
      <c r="E2" s="6"/>
      <c r="F2" s="6"/>
      <c r="G2" s="6"/>
      <c r="H2" s="6"/>
      <c r="I2" s="6"/>
      <c r="J2" s="6"/>
      <c r="K2" s="8"/>
    </row>
    <row r="3" spans="2:11" ht="12.75">
      <c r="B3" s="9"/>
      <c r="C3" s="10"/>
      <c r="D3" s="1239" t="s">
        <v>274</v>
      </c>
      <c r="E3" s="1239"/>
      <c r="F3" s="1239"/>
      <c r="G3" s="1239"/>
      <c r="H3" s="1239"/>
      <c r="I3" s="1240">
        <f>Welcome!H25</f>
        <v>2011</v>
      </c>
      <c r="J3" s="1240"/>
      <c r="K3" s="16"/>
    </row>
    <row r="4" spans="2:11" ht="12.75">
      <c r="B4" s="9"/>
      <c r="C4" s="10"/>
      <c r="D4" s="1239"/>
      <c r="E4" s="1239"/>
      <c r="F4" s="1239"/>
      <c r="G4" s="1239"/>
      <c r="H4" s="1239"/>
      <c r="I4" s="1240"/>
      <c r="J4" s="1240"/>
      <c r="K4" s="16"/>
    </row>
    <row r="5" spans="2:11" ht="12.75">
      <c r="B5" s="9"/>
      <c r="C5" s="10"/>
      <c r="D5" s="1239"/>
      <c r="E5" s="1239"/>
      <c r="F5" s="1239"/>
      <c r="G5" s="1239"/>
      <c r="H5" s="1239"/>
      <c r="I5" s="1240"/>
      <c r="J5" s="1240"/>
      <c r="K5" s="16"/>
    </row>
    <row r="6" spans="2:11" ht="12.75">
      <c r="B6" s="9"/>
      <c r="C6" s="10"/>
      <c r="D6" s="1239"/>
      <c r="E6" s="1239"/>
      <c r="F6" s="1239"/>
      <c r="G6" s="1239"/>
      <c r="H6" s="1239"/>
      <c r="I6" s="1240"/>
      <c r="J6" s="1240"/>
      <c r="K6" s="16"/>
    </row>
    <row r="7" spans="2:11" ht="7.5" customHeight="1">
      <c r="B7" s="9"/>
      <c r="C7" s="10"/>
      <c r="D7" s="466"/>
      <c r="E7" s="466"/>
      <c r="F7" s="466"/>
      <c r="G7" s="466"/>
      <c r="H7" s="466"/>
      <c r="I7" s="467"/>
      <c r="J7" s="467"/>
      <c r="K7" s="16"/>
    </row>
    <row r="8" spans="2:11" ht="12.75">
      <c r="B8" s="9"/>
      <c r="C8" s="5"/>
      <c r="D8" s="468"/>
      <c r="E8" s="468"/>
      <c r="F8" s="468"/>
      <c r="G8" s="468"/>
      <c r="H8" s="469"/>
      <c r="I8" s="467"/>
      <c r="J8" s="467"/>
      <c r="K8" s="16"/>
    </row>
    <row r="9" spans="2:13" ht="22.5" customHeight="1">
      <c r="B9" s="9"/>
      <c r="C9" s="470" t="s">
        <v>9</v>
      </c>
      <c r="D9" s="471"/>
      <c r="E9" s="1241">
        <f>Welcome!H17</f>
        <v>0</v>
      </c>
      <c r="F9" s="1241"/>
      <c r="G9" s="1241"/>
      <c r="H9" s="1241"/>
      <c r="I9" s="467"/>
      <c r="J9" s="467"/>
      <c r="K9" s="16"/>
      <c r="M9" s="1154" t="s">
        <v>144</v>
      </c>
    </row>
    <row r="10" spans="2:13" ht="9" customHeight="1">
      <c r="B10" s="9"/>
      <c r="C10" s="472"/>
      <c r="D10" s="473"/>
      <c r="E10" s="473"/>
      <c r="F10" s="473"/>
      <c r="G10" s="473"/>
      <c r="H10" s="474"/>
      <c r="I10" s="467"/>
      <c r="J10" s="467"/>
      <c r="K10" s="16"/>
      <c r="M10" s="1154"/>
    </row>
    <row r="11" spans="2:11" ht="22.5" customHeight="1">
      <c r="B11" s="9"/>
      <c r="C11" s="470" t="s">
        <v>12</v>
      </c>
      <c r="D11" s="471"/>
      <c r="E11" s="1241">
        <f>Welcome!H19</f>
        <v>0</v>
      </c>
      <c r="F11" s="1241"/>
      <c r="G11" s="1241"/>
      <c r="H11" s="1241"/>
      <c r="I11" s="467"/>
      <c r="J11" s="467"/>
      <c r="K11" s="16"/>
    </row>
    <row r="12" spans="2:11" ht="12.75">
      <c r="B12" s="9"/>
      <c r="C12" s="472"/>
      <c r="D12" s="473"/>
      <c r="E12" s="473"/>
      <c r="F12" s="473"/>
      <c r="G12" s="473"/>
      <c r="H12" s="16"/>
      <c r="I12" s="10"/>
      <c r="J12" s="10"/>
      <c r="K12" s="16"/>
    </row>
    <row r="13" spans="2:13" ht="22.5" customHeight="1">
      <c r="B13" s="9"/>
      <c r="C13" s="470" t="s">
        <v>13</v>
      </c>
      <c r="D13" s="471"/>
      <c r="E13" s="1241" t="str">
        <f>Welcome!H21</f>
        <v>Commercial medium-input</v>
      </c>
      <c r="F13" s="1241"/>
      <c r="G13" s="1241"/>
      <c r="H13" s="1241"/>
      <c r="I13" s="10"/>
      <c r="J13" s="10"/>
      <c r="K13" s="16"/>
      <c r="M13" s="1155" t="s">
        <v>259</v>
      </c>
    </row>
    <row r="14" spans="2:13" ht="8.25" customHeight="1">
      <c r="B14" s="9"/>
      <c r="C14" s="470"/>
      <c r="D14" s="471"/>
      <c r="E14" s="475"/>
      <c r="F14" s="476"/>
      <c r="G14" s="476"/>
      <c r="H14" s="477"/>
      <c r="I14" s="10"/>
      <c r="J14" s="10"/>
      <c r="K14" s="16"/>
      <c r="M14" s="1155"/>
    </row>
    <row r="15" spans="2:11" ht="9.75" customHeight="1">
      <c r="B15" s="9"/>
      <c r="C15" s="478"/>
      <c r="D15" s="473"/>
      <c r="E15" s="479"/>
      <c r="F15" s="480"/>
      <c r="G15" s="480"/>
      <c r="H15" s="480"/>
      <c r="I15" s="10"/>
      <c r="J15" s="10"/>
      <c r="K15" s="16"/>
    </row>
    <row r="16" spans="2:11" ht="7.5" customHeight="1">
      <c r="B16" s="9"/>
      <c r="C16" s="478"/>
      <c r="D16" s="473"/>
      <c r="E16" s="479"/>
      <c r="F16" s="480"/>
      <c r="G16" s="480"/>
      <c r="H16" s="480"/>
      <c r="I16" s="10"/>
      <c r="J16" s="10"/>
      <c r="K16" s="16"/>
    </row>
    <row r="17" spans="2:13" ht="23.25" customHeight="1">
      <c r="B17" s="9"/>
      <c r="C17" s="481"/>
      <c r="D17" s="1238" t="s">
        <v>275</v>
      </c>
      <c r="E17" s="1238"/>
      <c r="F17" s="1238"/>
      <c r="G17" s="1238"/>
      <c r="H17" s="1238"/>
      <c r="I17" s="1225">
        <f>Welcome!H25</f>
        <v>2011</v>
      </c>
      <c r="J17" s="1225"/>
      <c r="K17" s="16"/>
      <c r="M17" s="1138" t="s">
        <v>71</v>
      </c>
    </row>
    <row r="18" spans="2:13" ht="7.5" customHeight="1">
      <c r="B18" s="9"/>
      <c r="C18" s="482"/>
      <c r="D18" s="483"/>
      <c r="E18" s="473"/>
      <c r="F18" s="483"/>
      <c r="G18" s="483"/>
      <c r="H18" s="484"/>
      <c r="I18" s="10"/>
      <c r="J18" s="10"/>
      <c r="K18" s="16"/>
      <c r="M18" s="1138"/>
    </row>
    <row r="19" spans="2:11" ht="25.5" customHeight="1">
      <c r="B19" s="9"/>
      <c r="C19" s="485" t="s">
        <v>276</v>
      </c>
      <c r="D19" s="486" t="s">
        <v>277</v>
      </c>
      <c r="E19" s="486" t="s">
        <v>278</v>
      </c>
      <c r="F19" s="486" t="s">
        <v>279</v>
      </c>
      <c r="G19" s="486" t="s">
        <v>280</v>
      </c>
      <c r="H19" s="486" t="s">
        <v>281</v>
      </c>
      <c r="I19" s="486" t="s">
        <v>253</v>
      </c>
      <c r="J19" s="487" t="s">
        <v>282</v>
      </c>
      <c r="K19" s="16"/>
    </row>
    <row r="20" spans="2:11" ht="25.5" customHeight="1">
      <c r="B20" s="9"/>
      <c r="C20" s="488" t="s">
        <v>53</v>
      </c>
      <c r="D20" s="489">
        <f>FarmData!H5</f>
        <v>0</v>
      </c>
      <c r="E20" s="467">
        <f>Expenses!H40</f>
        <v>0</v>
      </c>
      <c r="F20" s="489" t="s">
        <v>84</v>
      </c>
      <c r="G20" s="467">
        <f>FarmData!H18</f>
        <v>0</v>
      </c>
      <c r="H20" s="467">
        <f>FarmData!H6</f>
        <v>0</v>
      </c>
      <c r="I20" s="490">
        <f>Income!G14+Income!G16</f>
        <v>0</v>
      </c>
      <c r="J20" s="474">
        <f>D20+E20+G20-I20-H20</f>
        <v>0</v>
      </c>
      <c r="K20" s="16"/>
    </row>
    <row r="21" spans="2:11" ht="25.5" customHeight="1">
      <c r="B21" s="9"/>
      <c r="C21" s="491" t="s">
        <v>61</v>
      </c>
      <c r="D21" s="492">
        <f>FarmData!H12</f>
        <v>0</v>
      </c>
      <c r="E21" s="492">
        <f>Expenses!H41</f>
        <v>0</v>
      </c>
      <c r="F21" s="493" t="s">
        <v>84</v>
      </c>
      <c r="G21" s="492">
        <f>FarmData!H19</f>
        <v>0</v>
      </c>
      <c r="H21" s="492">
        <f>FarmData!H13</f>
        <v>0</v>
      </c>
      <c r="I21" s="492">
        <f>Income!G15+Income!G17</f>
        <v>0</v>
      </c>
      <c r="J21" s="494">
        <f>FarmData!H12+Expenses!H41+FarmData!H19-Reports!I21-FarmData!H13</f>
        <v>0</v>
      </c>
      <c r="K21" s="16"/>
    </row>
    <row r="22" spans="2:11" ht="25.5" customHeight="1">
      <c r="B22" s="9"/>
      <c r="C22" s="495" t="s">
        <v>72</v>
      </c>
      <c r="D22" s="496">
        <f>FarmData!H16</f>
        <v>0</v>
      </c>
      <c r="E22" s="496">
        <f>Expenses!H39</f>
        <v>0</v>
      </c>
      <c r="F22" s="496">
        <f>FarmData!H17</f>
        <v>0</v>
      </c>
      <c r="G22" s="496">
        <f>SUM(G20:G21)</f>
        <v>0</v>
      </c>
      <c r="H22" s="496">
        <f>FarmData!H20</f>
        <v>0</v>
      </c>
      <c r="I22" s="1068">
        <f>Income!G9+Income!G10+Income!G11+Income!G12+Income!G13</f>
        <v>0</v>
      </c>
      <c r="J22" s="1069">
        <f>FarmData!H16+Expenses!H39+FarmData!H17-FarmData!H18-FarmData!H19-Reports!I22-FarmData!H20</f>
        <v>0</v>
      </c>
      <c r="K22" s="16"/>
    </row>
    <row r="23" spans="2:11" ht="7.5" customHeight="1">
      <c r="B23" s="9"/>
      <c r="C23" s="497"/>
      <c r="D23" s="10"/>
      <c r="E23" s="10"/>
      <c r="F23" s="497"/>
      <c r="G23" s="10"/>
      <c r="H23" s="10"/>
      <c r="I23" s="10"/>
      <c r="J23" s="10"/>
      <c r="K23" s="16"/>
    </row>
    <row r="24" spans="2:11" ht="7.5" customHeight="1">
      <c r="B24" s="9"/>
      <c r="C24" s="497"/>
      <c r="D24" s="10"/>
      <c r="E24" s="10"/>
      <c r="F24" s="497"/>
      <c r="G24" s="10"/>
      <c r="H24" s="10"/>
      <c r="I24" s="10"/>
      <c r="J24" s="10"/>
      <c r="K24" s="16"/>
    </row>
    <row r="25" spans="2:11" ht="6" customHeight="1">
      <c r="B25" s="9"/>
      <c r="C25" s="497"/>
      <c r="D25" s="10"/>
      <c r="E25" s="10"/>
      <c r="F25" s="497"/>
      <c r="G25" s="10"/>
      <c r="H25" s="10"/>
      <c r="I25" s="10"/>
      <c r="J25" s="10"/>
      <c r="K25" s="16"/>
    </row>
    <row r="26" spans="2:11" ht="24.75" customHeight="1">
      <c r="B26" s="9"/>
      <c r="C26" s="481"/>
      <c r="D26" s="1224" t="s">
        <v>283</v>
      </c>
      <c r="E26" s="1224"/>
      <c r="F26" s="1224"/>
      <c r="G26" s="1224"/>
      <c r="H26" s="1224"/>
      <c r="I26" s="1225">
        <f>Welcome!H25</f>
        <v>2011</v>
      </c>
      <c r="J26" s="1225"/>
      <c r="K26" s="16"/>
    </row>
    <row r="27" spans="2:11" ht="5.25" customHeight="1">
      <c r="B27" s="9"/>
      <c r="C27" s="10"/>
      <c r="D27" s="10"/>
      <c r="E27" s="10"/>
      <c r="F27" s="10"/>
      <c r="G27" s="10"/>
      <c r="H27" s="10"/>
      <c r="I27" s="10"/>
      <c r="J27" s="10"/>
      <c r="K27" s="16"/>
    </row>
    <row r="28" spans="2:11" ht="16.5" customHeight="1">
      <c r="B28" s="9"/>
      <c r="C28" s="498" t="s">
        <v>53</v>
      </c>
      <c r="D28" s="1227" t="s">
        <v>163</v>
      </c>
      <c r="E28" s="1227"/>
      <c r="F28" s="1227" t="s">
        <v>284</v>
      </c>
      <c r="G28" s="1227"/>
      <c r="H28" s="1227" t="s">
        <v>285</v>
      </c>
      <c r="I28" s="1227"/>
      <c r="J28" s="500"/>
      <c r="K28" s="16"/>
    </row>
    <row r="29" spans="2:15" ht="16.5" customHeight="1">
      <c r="B29" s="9"/>
      <c r="C29" s="5" t="s">
        <v>227</v>
      </c>
      <c r="D29" s="1236">
        <f>FarmData!H8</f>
        <v>0</v>
      </c>
      <c r="E29" s="1236"/>
      <c r="F29" s="1237" t="e">
        <f>Snapshot!E106</f>
        <v>#DIV/0!</v>
      </c>
      <c r="G29" s="1237"/>
      <c r="H29" s="1237">
        <f>Snapshot!L106</f>
        <v>1.805</v>
      </c>
      <c r="I29" s="1237"/>
      <c r="J29" s="8"/>
      <c r="K29" s="16"/>
      <c r="O29" s="464" t="s">
        <v>286</v>
      </c>
    </row>
    <row r="30" spans="2:15" ht="16.5" customHeight="1">
      <c r="B30" s="9"/>
      <c r="C30" s="501" t="s">
        <v>287</v>
      </c>
      <c r="D30" s="1229">
        <f>FarmData!H9</f>
        <v>0</v>
      </c>
      <c r="E30" s="1229"/>
      <c r="F30" s="1230" t="e">
        <f>D30/D29</f>
        <v>#DIV/0!</v>
      </c>
      <c r="G30" s="1230"/>
      <c r="H30" s="1230">
        <f>Targets!J11</f>
        <v>0</v>
      </c>
      <c r="I30" s="1230"/>
      <c r="J30" s="16"/>
      <c r="K30" s="16"/>
      <c r="O30" s="464">
        <f>H31*D20</f>
        <v>0</v>
      </c>
    </row>
    <row r="31" spans="2:18" ht="16.5" customHeight="1">
      <c r="B31" s="9"/>
      <c r="C31" s="501" t="s">
        <v>288</v>
      </c>
      <c r="D31" s="1235">
        <f>F31*D20</f>
        <v>0</v>
      </c>
      <c r="E31" s="1235"/>
      <c r="F31" s="1230">
        <f>Targets!I12</f>
        <v>0</v>
      </c>
      <c r="G31" s="1230"/>
      <c r="H31" s="1230">
        <f>IF(Targets!J12=0,Targets!K12,Targets!J12)</f>
        <v>0.13</v>
      </c>
      <c r="I31" s="1230"/>
      <c r="J31" s="16"/>
      <c r="K31" s="16"/>
      <c r="L31" s="958"/>
      <c r="M31" s="958"/>
      <c r="N31" s="958"/>
      <c r="O31" s="958"/>
      <c r="P31" s="958"/>
      <c r="Q31" s="958"/>
      <c r="R31" s="958"/>
    </row>
    <row r="32" spans="2:15" ht="16.5" customHeight="1">
      <c r="B32" s="9"/>
      <c r="C32" s="501" t="s">
        <v>289</v>
      </c>
      <c r="D32" s="1231">
        <f>F32*D20</f>
        <v>0</v>
      </c>
      <c r="E32" s="1231"/>
      <c r="F32" s="1230">
        <f>Background!Q80</f>
        <v>0</v>
      </c>
      <c r="G32" s="1230"/>
      <c r="H32" s="1230" t="e">
        <f>O35/D20</f>
        <v>#DIV/0!</v>
      </c>
      <c r="I32" s="1230"/>
      <c r="J32" s="16"/>
      <c r="K32" s="16"/>
      <c r="O32" s="464">
        <f>H33*D20</f>
        <v>0</v>
      </c>
    </row>
    <row r="33" spans="2:15" ht="16.5" customHeight="1">
      <c r="B33" s="9"/>
      <c r="C33" s="37" t="s">
        <v>290</v>
      </c>
      <c r="D33" s="1232">
        <f>FarmData!H6</f>
        <v>0</v>
      </c>
      <c r="E33" s="1232"/>
      <c r="F33" s="1223" t="e">
        <f>Snapshot!E66</f>
        <v>#DIV/0!</v>
      </c>
      <c r="G33" s="1223"/>
      <c r="H33" s="1223">
        <f>Snapshot!L66</f>
        <v>0.05</v>
      </c>
      <c r="I33" s="1223"/>
      <c r="J33" s="40"/>
      <c r="K33" s="16"/>
      <c r="O33" s="464" t="s">
        <v>291</v>
      </c>
    </row>
    <row r="34" spans="2:11" ht="7.5" customHeight="1">
      <c r="B34" s="9"/>
      <c r="C34" s="502"/>
      <c r="D34" s="502"/>
      <c r="E34" s="502"/>
      <c r="F34" s="502"/>
      <c r="G34" s="502"/>
      <c r="H34" s="502"/>
      <c r="I34" s="502"/>
      <c r="J34" s="502"/>
      <c r="K34" s="16"/>
    </row>
    <row r="35" spans="2:15" ht="16.5" customHeight="1">
      <c r="B35" s="9"/>
      <c r="C35" s="498" t="s">
        <v>72</v>
      </c>
      <c r="D35" s="1227" t="s">
        <v>163</v>
      </c>
      <c r="E35" s="1227"/>
      <c r="F35" s="1227" t="s">
        <v>284</v>
      </c>
      <c r="G35" s="1227"/>
      <c r="H35" s="1227" t="s">
        <v>267</v>
      </c>
      <c r="I35" s="1227"/>
      <c r="J35" s="500"/>
      <c r="K35" s="16"/>
      <c r="O35" s="464">
        <f>O30+O32</f>
        <v>0</v>
      </c>
    </row>
    <row r="36" spans="2:11" ht="16.5" customHeight="1">
      <c r="B36" s="9"/>
      <c r="C36" s="503" t="s">
        <v>292</v>
      </c>
      <c r="D36" s="1233">
        <f>FarmData!H17</f>
        <v>0</v>
      </c>
      <c r="E36" s="1233"/>
      <c r="F36" s="1234" t="e">
        <f>F29</f>
        <v>#DIV/0!</v>
      </c>
      <c r="G36" s="1234"/>
      <c r="H36" s="1234">
        <f>H29</f>
        <v>1.805</v>
      </c>
      <c r="I36" s="1234"/>
      <c r="J36" s="8"/>
      <c r="K36" s="16"/>
    </row>
    <row r="37" spans="2:11" ht="16.5" customHeight="1">
      <c r="B37" s="9"/>
      <c r="C37" s="9" t="s">
        <v>293</v>
      </c>
      <c r="D37" s="1235">
        <f>I22-D22</f>
        <v>0</v>
      </c>
      <c r="E37" s="1231"/>
      <c r="F37" s="1230" t="e">
        <f>D37/FarmData!H8</f>
        <v>#DIV/0!</v>
      </c>
      <c r="G37" s="1230"/>
      <c r="H37" s="1230" t="e">
        <f>(D37+O39)/FarmData!H8</f>
        <v>#DIV/0!</v>
      </c>
      <c r="I37" s="1230"/>
      <c r="J37" s="16"/>
      <c r="K37" s="16"/>
    </row>
    <row r="38" spans="2:15" ht="16.5" customHeight="1">
      <c r="B38" s="9"/>
      <c r="C38" s="501" t="s">
        <v>231</v>
      </c>
      <c r="D38" s="1231">
        <f>Snapshot!H97</f>
        <v>0</v>
      </c>
      <c r="E38" s="1231"/>
      <c r="F38" s="1230" t="e">
        <f>Snapshot!E112</f>
        <v>#DIV/0!</v>
      </c>
      <c r="G38" s="1230"/>
      <c r="H38" s="1230" t="e">
        <f>Snapshot!L112</f>
        <v>#DIV/0!</v>
      </c>
      <c r="I38" s="1230"/>
      <c r="J38" s="16"/>
      <c r="K38" s="16"/>
      <c r="O38" s="464" t="s">
        <v>294</v>
      </c>
    </row>
    <row r="39" spans="2:15" ht="16.5" customHeight="1">
      <c r="B39" s="9"/>
      <c r="C39" s="37" t="s">
        <v>290</v>
      </c>
      <c r="D39" s="1232">
        <f>FarmData!H20</f>
        <v>0</v>
      </c>
      <c r="E39" s="1232"/>
      <c r="F39" s="1223" t="e">
        <f>Snapshot!E109</f>
        <v>#DIV/0!</v>
      </c>
      <c r="G39" s="1223"/>
      <c r="H39" s="1223">
        <f>Snapshot!L109</f>
        <v>0.11</v>
      </c>
      <c r="I39" s="1223"/>
      <c r="J39" s="40"/>
      <c r="K39" s="16"/>
      <c r="O39" s="464" t="e">
        <f>(H38*D29)-D38</f>
        <v>#DIV/0!</v>
      </c>
    </row>
    <row r="40" spans="2:11" ht="7.5" customHeight="1">
      <c r="B40" s="9"/>
      <c r="C40" s="502"/>
      <c r="D40" s="504"/>
      <c r="E40" s="502"/>
      <c r="F40" s="502"/>
      <c r="G40" s="502"/>
      <c r="H40" s="502"/>
      <c r="I40" s="502"/>
      <c r="J40" s="502"/>
      <c r="K40" s="16"/>
    </row>
    <row r="41" spans="2:11" ht="16.5" customHeight="1">
      <c r="B41" s="9"/>
      <c r="C41" s="498" t="s">
        <v>61</v>
      </c>
      <c r="D41" s="1227" t="s">
        <v>163</v>
      </c>
      <c r="E41" s="1227"/>
      <c r="F41" s="1227" t="s">
        <v>284</v>
      </c>
      <c r="G41" s="1227"/>
      <c r="H41" s="1227" t="s">
        <v>267</v>
      </c>
      <c r="I41" s="1227"/>
      <c r="J41" s="500"/>
      <c r="K41" s="16"/>
    </row>
    <row r="42" spans="2:11" ht="16.5" customHeight="1">
      <c r="B42" s="9"/>
      <c r="C42" s="9" t="s">
        <v>289</v>
      </c>
      <c r="D42" s="1229" t="e">
        <f>F42*(D21+J21)/2</f>
        <v>#DIV/0!</v>
      </c>
      <c r="E42" s="1229"/>
      <c r="F42" s="1230" t="e">
        <f>IF(E21+G21-H21+Income!G17&lt;0,(E21+G21)/D21,(H21+Income!G17)/((D21+J21)/2))</f>
        <v>#DIV/0!</v>
      </c>
      <c r="G42" s="1230"/>
      <c r="H42" s="1230" t="e">
        <f>F42-F43+H43</f>
        <v>#DIV/0!</v>
      </c>
      <c r="I42" s="1230"/>
      <c r="J42" s="16"/>
      <c r="K42" s="16"/>
    </row>
    <row r="43" spans="2:11" ht="16.5" customHeight="1">
      <c r="B43" s="9"/>
      <c r="C43" s="37" t="s">
        <v>290</v>
      </c>
      <c r="D43" s="1222">
        <f>FarmData!H13</f>
        <v>0</v>
      </c>
      <c r="E43" s="1222"/>
      <c r="F43" s="1223" t="e">
        <f>Snapshot!E69</f>
        <v>#DIV/0!</v>
      </c>
      <c r="G43" s="1223"/>
      <c r="H43" s="1223">
        <f>Snapshot!L69</f>
        <v>0.04</v>
      </c>
      <c r="I43" s="1223"/>
      <c r="J43" s="40"/>
      <c r="K43" s="16"/>
    </row>
    <row r="44" spans="2:11" ht="9.75" customHeight="1">
      <c r="B44" s="9"/>
      <c r="C44" s="10"/>
      <c r="D44" s="10"/>
      <c r="E44" s="10"/>
      <c r="F44" s="10"/>
      <c r="G44" s="10"/>
      <c r="H44" s="10"/>
      <c r="I44" s="10"/>
      <c r="J44" s="10"/>
      <c r="K44" s="16"/>
    </row>
    <row r="45" spans="2:11" ht="25.5">
      <c r="B45" s="9"/>
      <c r="C45" s="481"/>
      <c r="D45" s="1224" t="s">
        <v>295</v>
      </c>
      <c r="E45" s="1224"/>
      <c r="F45" s="1224"/>
      <c r="G45" s="1224"/>
      <c r="H45" s="1224"/>
      <c r="I45" s="1225">
        <f>Welcome!H25</f>
        <v>2011</v>
      </c>
      <c r="J45" s="1225"/>
      <c r="K45" s="16"/>
    </row>
    <row r="46" spans="2:11" ht="7.5" customHeight="1">
      <c r="B46" s="9"/>
      <c r="C46" s="10"/>
      <c r="D46" s="10"/>
      <c r="E46" s="10"/>
      <c r="F46" s="10"/>
      <c r="G46" s="10"/>
      <c r="H46" s="10"/>
      <c r="I46" s="10"/>
      <c r="J46" s="10"/>
      <c r="K46" s="16"/>
    </row>
    <row r="47" spans="2:11" ht="16.5" customHeight="1">
      <c r="B47" s="9"/>
      <c r="C47" s="1226" t="s">
        <v>296</v>
      </c>
      <c r="D47" s="1226"/>
      <c r="E47" s="499" t="s">
        <v>149</v>
      </c>
      <c r="F47" s="1227" t="s">
        <v>297</v>
      </c>
      <c r="G47" s="1227"/>
      <c r="H47" s="505" t="s">
        <v>298</v>
      </c>
      <c r="I47" s="1228" t="str">
        <f>IF(Welcome!H23="Lambs Sold","lamb sold","marketable lamb")</f>
        <v>lamb sold</v>
      </c>
      <c r="J47" s="1228"/>
      <c r="K47" s="16"/>
    </row>
    <row r="48" spans="2:11" ht="16.5" customHeight="1">
      <c r="B48" s="9"/>
      <c r="C48" s="1220" t="s">
        <v>299</v>
      </c>
      <c r="D48" s="1220"/>
      <c r="E48" s="506">
        <f>Income!J20</f>
        <v>0</v>
      </c>
      <c r="F48" s="1221" t="e">
        <f>E48/(($D$20+$J$20)/2)</f>
        <v>#DIV/0!</v>
      </c>
      <c r="G48" s="1221"/>
      <c r="H48" s="1221" t="e">
        <f>E48/Background!Q81</f>
        <v>#DIV/0!</v>
      </c>
      <c r="I48" s="1221"/>
      <c r="J48" s="8"/>
      <c r="K48" s="16"/>
    </row>
    <row r="49" spans="2:11" ht="16.5" customHeight="1">
      <c r="B49" s="9"/>
      <c r="C49" s="1217" t="s">
        <v>300</v>
      </c>
      <c r="D49" s="1217"/>
      <c r="E49" s="507" t="e">
        <f>Expenses!J61</f>
        <v>#DIV/0!</v>
      </c>
      <c r="F49" s="1218" t="e">
        <f>E49/((D20+J20)/2)</f>
        <v>#DIV/0!</v>
      </c>
      <c r="G49" s="1218"/>
      <c r="H49" s="1218" t="e">
        <f>E49/Background!Q81</f>
        <v>#DIV/0!</v>
      </c>
      <c r="I49" s="1218"/>
      <c r="J49" s="16"/>
      <c r="K49" s="16"/>
    </row>
    <row r="50" spans="2:11" ht="16.5" customHeight="1">
      <c r="B50" s="9"/>
      <c r="C50" s="1217" t="s">
        <v>301</v>
      </c>
      <c r="D50" s="1217"/>
      <c r="E50" s="507" t="e">
        <f>Background!Q67</f>
        <v>#DIV/0!</v>
      </c>
      <c r="F50" s="1218" t="e">
        <f>E50/((D20+J20)/2)</f>
        <v>#DIV/0!</v>
      </c>
      <c r="G50" s="1218"/>
      <c r="H50" s="1218" t="e">
        <f>E50/Background!Q81</f>
        <v>#DIV/0!</v>
      </c>
      <c r="I50" s="1218"/>
      <c r="J50" s="16"/>
      <c r="K50" s="16"/>
    </row>
    <row r="51" spans="2:11" ht="16.5" customHeight="1">
      <c r="B51" s="9"/>
      <c r="C51" s="1217" t="s">
        <v>302</v>
      </c>
      <c r="D51" s="1217"/>
      <c r="E51" s="508" t="e">
        <f>Background!Q68</f>
        <v>#DIV/0!</v>
      </c>
      <c r="F51" s="1219" t="e">
        <f>E51/((D20+J20)/2)</f>
        <v>#DIV/0!</v>
      </c>
      <c r="G51" s="1219"/>
      <c r="H51" s="1219" t="e">
        <f>E51/Background!Q81</f>
        <v>#DIV/0!</v>
      </c>
      <c r="I51" s="1219"/>
      <c r="J51" s="16"/>
      <c r="K51" s="16"/>
    </row>
    <row r="52" spans="2:11" ht="16.5" customHeight="1">
      <c r="B52" s="9"/>
      <c r="C52" s="1217" t="s">
        <v>303</v>
      </c>
      <c r="D52" s="1217"/>
      <c r="E52" s="507">
        <f>Background!Q90</f>
        <v>0</v>
      </c>
      <c r="F52" s="1218" t="e">
        <f>E52/((D20+J20)/2)</f>
        <v>#DIV/0!</v>
      </c>
      <c r="G52" s="1218"/>
      <c r="H52" s="1218" t="e">
        <f>E52/Background!Q81</f>
        <v>#DIV/0!</v>
      </c>
      <c r="I52" s="1218"/>
      <c r="J52" s="16"/>
      <c r="K52" s="16"/>
    </row>
    <row r="53" spans="2:11" ht="7.5" customHeight="1">
      <c r="B53" s="9"/>
      <c r="C53" s="37"/>
      <c r="D53" s="38"/>
      <c r="E53" s="38"/>
      <c r="F53" s="38"/>
      <c r="G53" s="38"/>
      <c r="H53" s="38"/>
      <c r="I53" s="38"/>
      <c r="J53" s="40"/>
      <c r="K53" s="16"/>
    </row>
    <row r="54" spans="2:11" ht="8.25" customHeight="1">
      <c r="B54" s="509"/>
      <c r="C54" s="38"/>
      <c r="D54" s="38"/>
      <c r="E54" s="38"/>
      <c r="F54" s="38"/>
      <c r="G54" s="38"/>
      <c r="H54" s="38"/>
      <c r="I54" s="38"/>
      <c r="J54" s="38"/>
      <c r="K54" s="40"/>
    </row>
  </sheetData>
  <sheetProtection password="DEBF" sheet="1"/>
  <mergeCells count="74">
    <mergeCell ref="D3:H6"/>
    <mergeCell ref="I3:J6"/>
    <mergeCell ref="E9:H9"/>
    <mergeCell ref="M9:M10"/>
    <mergeCell ref="E11:H11"/>
    <mergeCell ref="E13:H13"/>
    <mergeCell ref="M13:M14"/>
    <mergeCell ref="D17:H17"/>
    <mergeCell ref="I17:J17"/>
    <mergeCell ref="M17:M18"/>
    <mergeCell ref="D26:H26"/>
    <mergeCell ref="I26:J26"/>
    <mergeCell ref="D28:E28"/>
    <mergeCell ref="F28:G28"/>
    <mergeCell ref="H28:I28"/>
    <mergeCell ref="D29:E29"/>
    <mergeCell ref="F29:G29"/>
    <mergeCell ref="H29:I29"/>
    <mergeCell ref="D30:E30"/>
    <mergeCell ref="F30:G30"/>
    <mergeCell ref="H30:I30"/>
    <mergeCell ref="D31:E31"/>
    <mergeCell ref="F31:G31"/>
    <mergeCell ref="H31:I31"/>
    <mergeCell ref="D32:E32"/>
    <mergeCell ref="F32:G32"/>
    <mergeCell ref="H32:I32"/>
    <mergeCell ref="D33:E33"/>
    <mergeCell ref="F33:G33"/>
    <mergeCell ref="H33:I33"/>
    <mergeCell ref="D35:E35"/>
    <mergeCell ref="F35:G35"/>
    <mergeCell ref="H35:I35"/>
    <mergeCell ref="D36:E36"/>
    <mergeCell ref="F36:G36"/>
    <mergeCell ref="H36:I36"/>
    <mergeCell ref="D37:E37"/>
    <mergeCell ref="F37:G37"/>
    <mergeCell ref="H37:I37"/>
    <mergeCell ref="D38:E38"/>
    <mergeCell ref="F38:G38"/>
    <mergeCell ref="H38:I38"/>
    <mergeCell ref="D39:E39"/>
    <mergeCell ref="F39:G39"/>
    <mergeCell ref="H39:I39"/>
    <mergeCell ref="D41:E41"/>
    <mergeCell ref="F41:G41"/>
    <mergeCell ref="H41:I41"/>
    <mergeCell ref="D42:E42"/>
    <mergeCell ref="F42:G42"/>
    <mergeCell ref="H42:I42"/>
    <mergeCell ref="D43:E43"/>
    <mergeCell ref="F43:G43"/>
    <mergeCell ref="H43:I43"/>
    <mergeCell ref="D45:H45"/>
    <mergeCell ref="I45:J45"/>
    <mergeCell ref="C47:D47"/>
    <mergeCell ref="F47:G47"/>
    <mergeCell ref="I47:J47"/>
    <mergeCell ref="C48:D48"/>
    <mergeCell ref="F48:G48"/>
    <mergeCell ref="H48:I48"/>
    <mergeCell ref="C49:D49"/>
    <mergeCell ref="F49:G49"/>
    <mergeCell ref="H49:I49"/>
    <mergeCell ref="C52:D52"/>
    <mergeCell ref="F52:G52"/>
    <mergeCell ref="H52:I52"/>
    <mergeCell ref="C50:D50"/>
    <mergeCell ref="F50:G50"/>
    <mergeCell ref="H50:I50"/>
    <mergeCell ref="C51:D51"/>
    <mergeCell ref="F51:G51"/>
    <mergeCell ref="H51:I51"/>
  </mergeCells>
  <hyperlinks>
    <hyperlink ref="M9" location="Calculators!E3" display="     Next     "/>
    <hyperlink ref="M13" location="Snapshot!C72" display="     Back       "/>
    <hyperlink ref="M17" location="Menu!E3" display="   Menu   "/>
  </hyperlinks>
  <printOptions/>
  <pageMargins left="0.7" right="0.7" top="0.75" bottom="0.75" header="0.3" footer="0.5118055555555555"/>
  <pageSetup horizontalDpi="600" verticalDpi="600" orientation="portrait"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Stolz, CMC</dc:creator>
  <cp:keywords/>
  <dc:description/>
  <cp:lastModifiedBy> Tony Stolz</cp:lastModifiedBy>
  <cp:lastPrinted>2012-03-10T17:48:45Z</cp:lastPrinted>
  <dcterms:created xsi:type="dcterms:W3CDTF">2011-09-07T23:10:55Z</dcterms:created>
  <dcterms:modified xsi:type="dcterms:W3CDTF">2012-10-12T03:27:43Z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